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9270" tabRatio="986"/>
  </bookViews>
  <sheets>
    <sheet name="จ่ายจากงบกลาง" sheetId="11" r:id="rId1"/>
    <sheet name="จ่ายแผนงานรักษาความสงบภายใน" sheetId="14" r:id="rId2"/>
    <sheet name="แผนงานการศึกษา" sheetId="15" r:id="rId3"/>
    <sheet name="แผนงานสาธารณสุข" sheetId="16" r:id="rId4"/>
    <sheet name="แผนงานสังคมสงเคราะห์" sheetId="17" r:id="rId5"/>
    <sheet name="แผนงานอุตสาหกรรม" sheetId="36" r:id="rId6"/>
    <sheet name="แผนงานเคหะฯ" sheetId="18" r:id="rId7"/>
    <sheet name="แผนงานสร้างความเข็มแข็ง" sheetId="19" r:id="rId8"/>
    <sheet name="แผนงานศาสนาฯ" sheetId="20" r:id="rId9"/>
    <sheet name="แผนงานการเกษตร" sheetId="21" r:id="rId10"/>
    <sheet name="แผนงานการพาณิชย์" sheetId="22" r:id="rId11"/>
    <sheet name="จ่ายแผนงานบริหารฯ" sheetId="13" r:id="rId12"/>
    <sheet name="รายงานรวมตามแผนงาน" sheetId="23" r:id="rId13"/>
    <sheet name="งบแสดงผลการดำเนินงานไตรมาส3" sheetId="38" r:id="rId14"/>
    <sheet name="Sheet5 (2)" sheetId="39" r:id="rId15"/>
    <sheet name="Sheet5" sheetId="37" r:id="rId16"/>
    <sheet name="รายงานจ่ายจากเงินสะสม" sheetId="24" r:id="rId17"/>
    <sheet name="รายงานจ่ายจากเงินอุดหนุนเฉพาะกิ" sheetId="28" r:id="rId18"/>
    <sheet name="งบแสดงผลการดำเนินงานรวม" sheetId="29" r:id="rId19"/>
    <sheet name="รายงานจ่ายจากเงินทุนสะสม " sheetId="30" r:id="rId20"/>
    <sheet name="Sheet1" sheetId="27" r:id="rId21"/>
    <sheet name="Sheet2" sheetId="31" r:id="rId22"/>
    <sheet name="Sheet3" sheetId="32" r:id="rId23"/>
    <sheet name="Sheet4" sheetId="33" r:id="rId24"/>
    <sheet name="Sheet6" sheetId="40" r:id="rId25"/>
  </sheets>
  <definedNames>
    <definedName name="_xlnm.Print_Area" localSheetId="13">งบแสดงผลการดำเนินงานไตรมาส3!$A$1:$R$40</definedName>
    <definedName name="_xlnm.Print_Area" localSheetId="18">งบแสดงผลการดำเนินงานรวม!$A$1:$F$38</definedName>
  </definedNames>
  <calcPr calcId="144525"/>
</workbook>
</file>

<file path=xl/calcChain.xml><?xml version="1.0" encoding="utf-8"?>
<calcChain xmlns="http://schemas.openxmlformats.org/spreadsheetml/2006/main">
  <c r="B11" i="38" l="1"/>
  <c r="B12" i="29" l="1"/>
  <c r="F11" i="11" l="1"/>
  <c r="F9" i="11"/>
  <c r="F8" i="11"/>
  <c r="E9" i="11"/>
  <c r="E8" i="11"/>
  <c r="E13" i="13"/>
  <c r="F15" i="11" l="1"/>
  <c r="E15" i="11"/>
  <c r="F15" i="18" l="1"/>
  <c r="F12" i="18"/>
  <c r="E12" i="18"/>
  <c r="E11" i="18"/>
  <c r="E10" i="18"/>
  <c r="E9" i="18"/>
  <c r="G12" i="18"/>
  <c r="G11" i="18"/>
  <c r="D12" i="18"/>
  <c r="D11" i="18"/>
  <c r="E12" i="13"/>
  <c r="E11" i="13"/>
  <c r="E10" i="13"/>
  <c r="E9" i="13"/>
  <c r="E8" i="13"/>
  <c r="G12" i="13"/>
  <c r="G11" i="13"/>
  <c r="G10" i="13"/>
  <c r="G9" i="13"/>
  <c r="D11" i="13"/>
  <c r="E12" i="22"/>
  <c r="E11" i="21"/>
  <c r="D11" i="21"/>
  <c r="E11" i="20"/>
  <c r="E10" i="16"/>
  <c r="F17" i="15"/>
  <c r="E13" i="15"/>
  <c r="E12" i="15"/>
  <c r="E11" i="15"/>
  <c r="E10" i="15"/>
  <c r="E9" i="15"/>
  <c r="F12" i="14"/>
  <c r="F11" i="14"/>
  <c r="F10" i="14"/>
  <c r="D12" i="14"/>
  <c r="D11" i="14"/>
  <c r="E11" i="11"/>
  <c r="G24" i="38" l="1"/>
  <c r="G25" i="38"/>
  <c r="G26" i="38"/>
  <c r="G27" i="38"/>
  <c r="G28" i="38"/>
  <c r="G29" i="38"/>
  <c r="G30" i="38"/>
  <c r="G31" i="38"/>
  <c r="G23" i="38"/>
  <c r="E32" i="38"/>
  <c r="F32" i="38"/>
  <c r="D32" i="38"/>
  <c r="C32" i="38"/>
  <c r="B32" i="38"/>
  <c r="G12" i="38"/>
  <c r="G13" i="38"/>
  <c r="G14" i="38"/>
  <c r="G15" i="38"/>
  <c r="G16" i="38"/>
  <c r="G17" i="38"/>
  <c r="G18" i="38"/>
  <c r="G19" i="38"/>
  <c r="G20" i="38"/>
  <c r="G10" i="38"/>
  <c r="F21" i="38"/>
  <c r="E21" i="38"/>
  <c r="D21" i="38"/>
  <c r="G11" i="38"/>
  <c r="B21" i="38"/>
  <c r="R21" i="38"/>
  <c r="Q21" i="38"/>
  <c r="P21" i="38"/>
  <c r="O21" i="38"/>
  <c r="N21" i="38"/>
  <c r="M21" i="38"/>
  <c r="L21" i="38"/>
  <c r="K21" i="38"/>
  <c r="J21" i="38"/>
  <c r="I21" i="38"/>
  <c r="H21" i="38"/>
  <c r="G32" i="38" l="1"/>
  <c r="C21" i="38"/>
  <c r="G21" i="38"/>
  <c r="G33" i="38" s="1"/>
  <c r="D21" i="29"/>
  <c r="C21" i="29"/>
  <c r="E17" i="36" l="1"/>
  <c r="D17" i="36"/>
  <c r="F16" i="36"/>
  <c r="F15" i="36"/>
  <c r="F14" i="36"/>
  <c r="F13" i="36"/>
  <c r="F12" i="36"/>
  <c r="F11" i="36"/>
  <c r="F10" i="36"/>
  <c r="F9" i="36"/>
  <c r="F8" i="36"/>
  <c r="F7" i="36"/>
  <c r="F17" i="36" l="1"/>
  <c r="D10" i="13"/>
  <c r="D9" i="13"/>
  <c r="D17" i="13"/>
  <c r="D13" i="13"/>
  <c r="D8" i="13"/>
  <c r="D12" i="22"/>
  <c r="D11" i="22"/>
  <c r="D10" i="22"/>
  <c r="D15" i="21"/>
  <c r="D12" i="21"/>
  <c r="D12" i="20"/>
  <c r="F11" i="18"/>
  <c r="D15" i="18"/>
  <c r="D14" i="18"/>
  <c r="D10" i="18"/>
  <c r="D9" i="18"/>
  <c r="D17" i="15"/>
  <c r="D12" i="15"/>
  <c r="D11" i="15"/>
  <c r="D13" i="15"/>
  <c r="D10" i="15"/>
  <c r="D9" i="15"/>
  <c r="D10" i="14"/>
  <c r="B21" i="29" l="1"/>
  <c r="D18" i="13" l="1"/>
  <c r="F10" i="29" l="1"/>
  <c r="F32" i="29"/>
  <c r="D18" i="20" l="1"/>
  <c r="D15" i="11"/>
  <c r="F18" i="13" l="1"/>
  <c r="F12" i="29" l="1"/>
  <c r="F13" i="29"/>
  <c r="F14" i="29"/>
  <c r="F15" i="29"/>
  <c r="F16" i="29"/>
  <c r="F17" i="29"/>
  <c r="F18" i="29"/>
  <c r="F19" i="29"/>
  <c r="F20" i="29"/>
  <c r="F11" i="29"/>
  <c r="M21" i="30"/>
  <c r="L21" i="30"/>
  <c r="K21" i="30"/>
  <c r="J21" i="30"/>
  <c r="I21" i="30"/>
  <c r="H21" i="30"/>
  <c r="G21" i="30"/>
  <c r="F21" i="30"/>
  <c r="E21" i="30"/>
  <c r="D21" i="30"/>
  <c r="C21" i="30"/>
  <c r="N20" i="30"/>
  <c r="N19" i="30"/>
  <c r="N18" i="30"/>
  <c r="N17" i="30"/>
  <c r="N16" i="30"/>
  <c r="N15" i="30"/>
  <c r="N14" i="30"/>
  <c r="N13" i="30"/>
  <c r="N12" i="30"/>
  <c r="N11" i="30"/>
  <c r="N10" i="30"/>
  <c r="N21" i="30" s="1"/>
  <c r="F21" i="29" l="1"/>
  <c r="F33" i="29" s="1"/>
  <c r="E21" i="29"/>
  <c r="M21" i="28"/>
  <c r="L21" i="28"/>
  <c r="K21" i="28"/>
  <c r="J21" i="28"/>
  <c r="I21" i="28"/>
  <c r="H21" i="28"/>
  <c r="G21" i="28"/>
  <c r="F21" i="28"/>
  <c r="E21" i="28"/>
  <c r="D21" i="28"/>
  <c r="C21" i="28"/>
  <c r="N20" i="28"/>
  <c r="N19" i="28"/>
  <c r="N18" i="28"/>
  <c r="N17" i="28"/>
  <c r="N16" i="28"/>
  <c r="N15" i="28"/>
  <c r="N14" i="28"/>
  <c r="N13" i="28"/>
  <c r="N12" i="28"/>
  <c r="N11" i="28"/>
  <c r="N10" i="28"/>
  <c r="N21" i="28" l="1"/>
  <c r="M21" i="24" l="1"/>
  <c r="L21" i="24"/>
  <c r="K21" i="24"/>
  <c r="J21" i="24"/>
  <c r="I21" i="24"/>
  <c r="H21" i="24"/>
  <c r="G21" i="24"/>
  <c r="F21" i="24"/>
  <c r="E21" i="24"/>
  <c r="D21" i="24"/>
  <c r="C21" i="24"/>
  <c r="N20" i="24"/>
  <c r="N19" i="24"/>
  <c r="N18" i="24"/>
  <c r="N17" i="24"/>
  <c r="N16" i="24"/>
  <c r="N15" i="24"/>
  <c r="N14" i="24"/>
  <c r="N13" i="24"/>
  <c r="N12" i="24"/>
  <c r="N11" i="24"/>
  <c r="N10" i="24"/>
  <c r="O12" i="23"/>
  <c r="O13" i="23"/>
  <c r="O14" i="23"/>
  <c r="O15" i="23"/>
  <c r="O16" i="23"/>
  <c r="O17" i="23"/>
  <c r="O18" i="23"/>
  <c r="O19" i="23"/>
  <c r="O20" i="23"/>
  <c r="O11" i="23"/>
  <c r="O10" i="23"/>
  <c r="E21" i="23"/>
  <c r="F21" i="23"/>
  <c r="G21" i="23"/>
  <c r="H21" i="23"/>
  <c r="I21" i="23"/>
  <c r="J21" i="23"/>
  <c r="K21" i="23"/>
  <c r="L21" i="23"/>
  <c r="M21" i="23"/>
  <c r="N21" i="23"/>
  <c r="D21" i="23"/>
  <c r="N21" i="24" l="1"/>
  <c r="O21" i="23"/>
  <c r="E17" i="22"/>
  <c r="F16" i="22"/>
  <c r="F15" i="22"/>
  <c r="F14" i="22"/>
  <c r="F13" i="22"/>
  <c r="F12" i="22"/>
  <c r="F11" i="22"/>
  <c r="F10" i="22"/>
  <c r="F9" i="22"/>
  <c r="F8" i="22"/>
  <c r="F7" i="22"/>
  <c r="D18" i="21"/>
  <c r="G17" i="21"/>
  <c r="G16" i="21"/>
  <c r="G15" i="21"/>
  <c r="G14" i="21"/>
  <c r="G13" i="21"/>
  <c r="G12" i="21"/>
  <c r="F18" i="21"/>
  <c r="E18" i="21"/>
  <c r="G10" i="21"/>
  <c r="G9" i="21"/>
  <c r="G8" i="21"/>
  <c r="G11" i="20"/>
  <c r="F18" i="20"/>
  <c r="E18" i="20"/>
  <c r="G17" i="20"/>
  <c r="G16" i="20"/>
  <c r="G14" i="20"/>
  <c r="G13" i="20"/>
  <c r="G12" i="20"/>
  <c r="G10" i="20"/>
  <c r="G9" i="20"/>
  <c r="G8" i="20"/>
  <c r="D17" i="22" l="1"/>
  <c r="F17" i="22"/>
  <c r="G11" i="21"/>
  <c r="G18" i="21" s="1"/>
  <c r="G18" i="20"/>
  <c r="E18" i="19"/>
  <c r="D18" i="19"/>
  <c r="F17" i="19"/>
  <c r="F16" i="19"/>
  <c r="F15" i="19"/>
  <c r="F14" i="19"/>
  <c r="F13" i="19"/>
  <c r="F12" i="19"/>
  <c r="F11" i="19"/>
  <c r="F10" i="19"/>
  <c r="F9" i="19"/>
  <c r="H15" i="18"/>
  <c r="H14" i="18"/>
  <c r="H12" i="18"/>
  <c r="H11" i="18"/>
  <c r="H10" i="18"/>
  <c r="H9" i="18"/>
  <c r="D18" i="18"/>
  <c r="G18" i="18"/>
  <c r="F18" i="18"/>
  <c r="E18" i="18"/>
  <c r="H17" i="18"/>
  <c r="H16" i="18"/>
  <c r="H13" i="18"/>
  <c r="H8" i="18"/>
  <c r="E16" i="17"/>
  <c r="D16" i="17"/>
  <c r="F15" i="17"/>
  <c r="F14" i="17"/>
  <c r="F13" i="17"/>
  <c r="F12" i="17"/>
  <c r="F11" i="17"/>
  <c r="F10" i="17"/>
  <c r="F9" i="17"/>
  <c r="F8" i="17"/>
  <c r="F7" i="17"/>
  <c r="F6" i="17"/>
  <c r="E17" i="16"/>
  <c r="D17" i="16"/>
  <c r="F16" i="16"/>
  <c r="F15" i="16"/>
  <c r="F14" i="16"/>
  <c r="F13" i="16"/>
  <c r="F12" i="16"/>
  <c r="F11" i="16"/>
  <c r="F10" i="16"/>
  <c r="F9" i="16"/>
  <c r="F8" i="16"/>
  <c r="F7" i="16"/>
  <c r="H17" i="15"/>
  <c r="H13" i="15"/>
  <c r="H12" i="15"/>
  <c r="H14" i="15"/>
  <c r="H16" i="15"/>
  <c r="H11" i="15"/>
  <c r="H10" i="15"/>
  <c r="H9" i="15"/>
  <c r="G18" i="15"/>
  <c r="F18" i="15"/>
  <c r="E18" i="15"/>
  <c r="D18" i="15"/>
  <c r="H8" i="15"/>
  <c r="F18" i="14"/>
  <c r="G17" i="14"/>
  <c r="G16" i="14"/>
  <c r="G15" i="14"/>
  <c r="G14" i="14"/>
  <c r="G13" i="14"/>
  <c r="G12" i="14"/>
  <c r="G11" i="14"/>
  <c r="G10" i="14"/>
  <c r="G9" i="14"/>
  <c r="G8" i="14"/>
  <c r="D18" i="14"/>
  <c r="G18" i="13"/>
  <c r="E18" i="13"/>
  <c r="H10" i="13"/>
  <c r="H11" i="13"/>
  <c r="H12" i="13"/>
  <c r="H13" i="13"/>
  <c r="H14" i="13"/>
  <c r="H15" i="13"/>
  <c r="H16" i="13"/>
  <c r="H17" i="13"/>
  <c r="H9" i="13"/>
  <c r="H8" i="13"/>
  <c r="H18" i="13" l="1"/>
  <c r="F18" i="19"/>
  <c r="H18" i="18"/>
  <c r="F16" i="17"/>
  <c r="F17" i="16"/>
  <c r="H18" i="15"/>
  <c r="G18" i="14"/>
</calcChain>
</file>

<file path=xl/sharedStrings.xml><?xml version="1.0" encoding="utf-8"?>
<sst xmlns="http://schemas.openxmlformats.org/spreadsheetml/2006/main" count="696" uniqueCount="185">
  <si>
    <t>องค์การบริหารส่วนตำบลช้างซ้าย</t>
  </si>
  <si>
    <t>รวม</t>
  </si>
  <si>
    <t>แหล่งเงิน</t>
  </si>
  <si>
    <t>งาน</t>
  </si>
  <si>
    <t>หมวด</t>
  </si>
  <si>
    <t>เงินงบประมาณ</t>
  </si>
  <si>
    <t>ค่าใช้สอย</t>
  </si>
  <si>
    <t>รายจ่ายอื่น</t>
  </si>
  <si>
    <t>การศึกษา</t>
  </si>
  <si>
    <t>ค่าวัสดุ</t>
  </si>
  <si>
    <t>งบกลาง</t>
  </si>
  <si>
    <t>ค่าตอบแทน</t>
  </si>
  <si>
    <t>รายงานรายจ่ายในการดำเนินงานที่จ่ายจากเงินรายรับตามแผนงาน งบกลาง</t>
  </si>
  <si>
    <t>งบ</t>
  </si>
  <si>
    <t>ประมาณการ</t>
  </si>
  <si>
    <t>งบประมาณ</t>
  </si>
  <si>
    <t>1.  เงินสมทบกองทุนประกันสังคม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</si>
  <si>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</si>
  <si>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งานบริหารทั่วไป</t>
  </si>
  <si>
    <t>งานบริหารงานคลัง</t>
  </si>
  <si>
    <t>งบบุคลากร</t>
  </si>
  <si>
    <t>เงินเดือน(ฝ่ายประจำ)</t>
  </si>
  <si>
    <t>เงินเดือน(ฝ่ายการเมือง)</t>
  </si>
  <si>
    <t>งบดำเนินการ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</si>
  <si>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</si>
  <si>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</si>
  <si>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</si>
  <si>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</si>
  <si>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</si>
  <si>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งบเงินอุดหนุน</t>
  </si>
  <si>
    <t>เงินอุดหนุน</t>
  </si>
  <si>
    <t>งานป้องกันภัยฝ่ายพลเรือน</t>
  </si>
  <si>
    <t>เกี่ยวกับกรศึกษา</t>
  </si>
  <si>
    <t>งานระดับก่อนวัย</t>
  </si>
  <si>
    <t>เรียนและประถมศึกษา</t>
  </si>
  <si>
    <t>งานระดับ</t>
  </si>
  <si>
    <t>มัธยมศึกษา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</si>
  <si>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</si>
  <si>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รายงานรายจ่ายในการดำเนินงานที่จ่ายจากเงินรายรับตามแผนงาน  การศึกษา</t>
  </si>
  <si>
    <t>รายงานรายจ่ายในการดำเนินงานที่จ่ายจากเงินรายรับตามแผนงาน  สาธารณสุข</t>
  </si>
  <si>
    <t>งานบริการสาธารณสุขอื่น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</si>
  <si>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</si>
  <si>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งานสวัสดิการสังคมฯ</t>
  </si>
  <si>
    <t>รายงานรายจ่ายในการดำเนินงานที่จ่ายจากเงินรายรับตามแผนงาน  เคหะและชุมชน</t>
  </si>
  <si>
    <t>เกี่ยวกับเคหะและชุมชน</t>
  </si>
  <si>
    <t>งานไฟฟ้าถนน</t>
  </si>
  <si>
    <t>งานกำจัดขยะ</t>
  </si>
  <si>
    <t>มูลฝอยและสิ่งปฏิกูล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</si>
  <si>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</si>
  <si>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</si>
  <si>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</si>
  <si>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</si>
  <si>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</si>
  <si>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</si>
  <si>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</si>
  <si>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</si>
  <si>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 การเกษตร</t>
  </si>
  <si>
    <t>งานส่งเสริมการ</t>
  </si>
  <si>
    <t>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</si>
  <si>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</si>
  <si>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</si>
  <si>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</si>
  <si>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</si>
  <si>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รายงานรายจ่ายในการดำเนินงานที่จากเงินรายรับตามแผนงานรวม</t>
  </si>
  <si>
    <t>บริหาร</t>
  </si>
  <si>
    <t>ทั่วไป</t>
  </si>
  <si>
    <t>การรักษา</t>
  </si>
  <si>
    <t>ความ</t>
  </si>
  <si>
    <t>สงบภายใน</t>
  </si>
  <si>
    <t>สังคม</t>
  </si>
  <si>
    <t>สงเคระห์</t>
  </si>
  <si>
    <t>เคหะและ</t>
  </si>
  <si>
    <t>ชุมชน</t>
  </si>
  <si>
    <t>สร้าง</t>
  </si>
  <si>
    <t>เข้มแข็ง</t>
  </si>
  <si>
    <t>ของชุนชม</t>
  </si>
  <si>
    <t>การ</t>
  </si>
  <si>
    <t>ศาสนา</t>
  </si>
  <si>
    <t>วัฒนธรรม</t>
  </si>
  <si>
    <t>และ</t>
  </si>
  <si>
    <t>การเกษตร</t>
  </si>
  <si>
    <t>การพาณิชย์</t>
  </si>
  <si>
    <t>รายงานรายจ่ายในการดำเนินงานที่จากเงินสะสม</t>
  </si>
  <si>
    <t>รายจ่าย</t>
  </si>
  <si>
    <t>เงินสะสม</t>
  </si>
  <si>
    <t>จ่ายจากเงิน</t>
  </si>
  <si>
    <t>รวมรายจ่าย</t>
  </si>
  <si>
    <t>รายรับ</t>
  </si>
  <si>
    <t>หมวดภาษีอากร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</si>
  <si>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</si>
  <si>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</si>
  <si>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</si>
  <si>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</si>
  <si>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</si>
  <si>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รวมรายรับ</t>
  </si>
  <si>
    <t>รายรับสูงกว่าหรือ(ต่ำกว่า)รายจ่าย</t>
  </si>
  <si>
    <t>หมวดค่าธรรมเนียมค่าปรับและใบอนุญาต</t>
  </si>
  <si>
    <t>หมวดรายได้จากทรัพย์สิน</t>
  </si>
  <si>
    <t>รายงานรายจ่ายในการดำเนินงานที่จากเงินอุดหนุนระบุวัตถุประสงค์/เฉพาะกิจ</t>
  </si>
  <si>
    <t>สาธารณสุข</t>
  </si>
  <si>
    <t>งานวางแผนสถิติ</t>
  </si>
  <si>
    <t>และวิชาการ</t>
  </si>
  <si>
    <t>งานบริหารทั่วไปเกี่ยวกับ</t>
  </si>
  <si>
    <t>การรักษาความสงบภายใน</t>
  </si>
  <si>
    <t>รายงานรายจ่ายในการดำเนินงานที่จากเงินทุนสำรองเงินสะสม</t>
  </si>
  <si>
    <t>ทุนสำรองเงินสะสม</t>
  </si>
  <si>
    <t>หมวดรายได้จากทุน</t>
  </si>
  <si>
    <t xml:space="preserve">                               ผู้อำนวยการกองคลัง                           รองปลัดองค์การบริหารส่วนตำบล ปฏิบัติราชการแทน                  นายกองค์การบริหารส่วนตำบลช้างซ้าย</t>
  </si>
  <si>
    <t>ปลัดองค์การบริหารส่วนตำบลช้างซ้าย</t>
  </si>
  <si>
    <t xml:space="preserve">                     ปลัดองค์การบริหารส่วนตำบลช้างซ้าย</t>
  </si>
  <si>
    <t xml:space="preserve">                                                                              ผู้อำนวยการกองคลัง                           รองปลัดองค์การบริหารส่วนตำบล ปฏิบัติราชการแทน                            นายกองค์การบริการส่วนตำบลช้างซ้าย</t>
  </si>
  <si>
    <t xml:space="preserve">                                                                                                                                                     ปลัดองค์การบริการส่วนตำบลช้างซ้าย</t>
  </si>
  <si>
    <t xml:space="preserve">                                                                              ผู้อำนวยการกองคลัง                                 รองปลัดองค์การบริหารส่วนตำบล ปฏิบัติราชการแทน                            นายกองค์การบริการส่วนตำบลช้างซ้าย</t>
  </si>
  <si>
    <t xml:space="preserve">                                                                                                                                                         ปลัดองค์การบริหารส่วนตำบลช้างซ้าย</t>
  </si>
  <si>
    <t>4.  เบี้ยยังชีพผู้ป่วยเอดส์</t>
  </si>
  <si>
    <t>5.  เงินสำรองจ่าย</t>
  </si>
  <si>
    <t>6.  รายจ่ายตามข้อผูกพัน</t>
  </si>
  <si>
    <t>2.  เบี้ยยังชีพผู้สูงอายุ</t>
  </si>
  <si>
    <t>3.  เบี้ยยังชีพคนพิการ</t>
  </si>
  <si>
    <t xml:space="preserve">                             (นางกรปภา   ศิริโรจน์)                                    (นางสกาวเดือน   สุดแก้ว)                                                            (นายชูศักดิ์   เภรีฤกษ์)</t>
  </si>
  <si>
    <t xml:space="preserve">                                                                            (นางกรปภา   ศิริโรจน์)                                             (นางสกาวเดือน  สุดแก้ว)                                                                      (นายชูศักดิ์     เภรีฤกษ์)</t>
  </si>
  <si>
    <t xml:space="preserve">                                                                            (นางกรปภา   ศิริโรจน์)                                             (นางสกาวเดือน   สุดแก้ว)                                                                     (นายชูศักดิ์     เภรีฤกษ์)</t>
  </si>
  <si>
    <t>+</t>
  </si>
  <si>
    <t>รายงานรายรับ - รายจ่ายรายไตรมาส</t>
  </si>
  <si>
    <t>สะสม</t>
  </si>
  <si>
    <t>(นางกรปภา  ศิริโรจน์)</t>
  </si>
  <si>
    <t>ผู้อำนวยการกองคลัง</t>
  </si>
  <si>
    <t>รวมตั้งแต่ต้นปีจนถึงปัจจุบัน</t>
  </si>
  <si>
    <t>รายการ</t>
  </si>
  <si>
    <t>ตั้งแต่วันที่ 1 ตุลาคม  2560 - 31  มีนาคม  2561</t>
  </si>
  <si>
    <t>7.  เงินสมทบกองทุนเงินทดแทน</t>
  </si>
  <si>
    <t>8.  เงินสมทบกองทุนบำเหน็จบำนาญฯ(กบท.)</t>
  </si>
  <si>
    <t xml:space="preserve"> </t>
  </si>
  <si>
    <t>รายงานรายจ่ายในการดำเนินงานที่จ่ายจากเงินรายรับตามแผนงาน อุตสาหกรรมและการโยธา</t>
  </si>
  <si>
    <t>งานก่อสร้างโครงสร้างพื้นฐาน</t>
  </si>
  <si>
    <t>การโยธา</t>
  </si>
  <si>
    <t>อุตสาหกรรม</t>
  </si>
  <si>
    <t xml:space="preserve">                                                                            (นางกรปภา   ศิริโรจน์)                                             (นางสกาวเดือน    สุดแก้ว)                                                               (นายชูศักดิ์     เภรีฤกษ์)</t>
  </si>
  <si>
    <t>การโยธ</t>
  </si>
  <si>
    <t>.</t>
  </si>
  <si>
    <t xml:space="preserve">                                                                                                                                                           ปลัดองค์การบริหารส่วนตำบลช้างซ้าย</t>
  </si>
  <si>
    <t xml:space="preserve">                                                                            (นางกรปภา   ศิริโรจน์)                                                (นางสกาวเดือน   สุดแก้ว)                                                               (นายชูศักดิ์     เภรีฤกษ์)</t>
  </si>
  <si>
    <t>อุดหนุนระบุวัตุประสงค์/</t>
  </si>
  <si>
    <t>เฉพะกิจ</t>
  </si>
  <si>
    <t>(นางสกาวเดือน สุดแก้ว</t>
  </si>
  <si>
    <t>รองปลัดองค์การบริหารส่วนตำบล ปฏิบัติราชการแทน</t>
  </si>
  <si>
    <t>(นายชูศักดิ์  เภรีฤกษ์)</t>
  </si>
  <si>
    <t>นายกองค์การบริหารส่วนตำบลช้างซ้าย</t>
  </si>
  <si>
    <t>รายการ/หมวด</t>
  </si>
  <si>
    <t>ประมาณ</t>
  </si>
  <si>
    <t>จ่ายจาก</t>
  </si>
  <si>
    <t>เงินงบ</t>
  </si>
  <si>
    <t>ประสงค์ฯ</t>
  </si>
  <si>
    <t>เงินทุน</t>
  </si>
  <si>
    <t>สำรองเงิน</t>
  </si>
  <si>
    <t>ระบุวัตถุ</t>
  </si>
  <si>
    <t>รวมจ่าย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</si>
  <si>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</si>
  <si>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</si>
  <si>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</si>
  <si>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</si>
  <si>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</si>
  <si>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</si>
  <si>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</si>
  <si>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เงินอุดนุนทั่วไป</t>
  </si>
  <si>
    <t>เงินอุดหนุนระบุวัตถุประสงค์/เฉพาะกิจ</t>
  </si>
  <si>
    <t>รวมรับ</t>
  </si>
  <si>
    <t>รายรับสูงกว่าหรือต่ำกว่ารายจ่าย</t>
  </si>
  <si>
    <t>(นางสกาวเดือน สุดแก้ว)</t>
  </si>
  <si>
    <t>งบแสดงผลการดำเนินงานจ่ายจากเงินรายรับ เงินอุดหนุนเฉพาะกิจ เงินสะสมและเงินทุนสำรองเงินสะสม</t>
  </si>
  <si>
    <t>จ่ายงบกลาง</t>
  </si>
  <si>
    <t>ตั้งแต่วันที่ 1 ตุลาคม 2561 - 30 มิถุนายน 2562</t>
  </si>
  <si>
    <t>จ่ายจริง</t>
  </si>
  <si>
    <t>ตั้งแต่วันที่ 1 ตุลาคม 2561 - 30 มิถุนายน  2562</t>
  </si>
  <si>
    <t>ตั้งแต่วันที่  1  ตุลาคม  2561 - 30 มิถุนายน  2562</t>
  </si>
  <si>
    <t>ตั้งแต่วันที่ 1 ตุลาคม 2561 - 30  มิถุนายน  2562</t>
  </si>
  <si>
    <t>ตั้งแต่วันที่ 1 ตุลาคม  2561 - 30  มิถุนายน   2562</t>
  </si>
  <si>
    <t>ตั้งแต่วันที่ 1 ตุลาคม  2561 - 30  มิถุนายน  2562</t>
  </si>
  <si>
    <t>ตั้งแต่วันที่ 1  ตุลาคม  2561 - 30 มิถุนายน  2562</t>
  </si>
  <si>
    <t>ตั้งแต่วันที่  1  ตุลาคม  2561 - 30  มิถุนายน  2562</t>
  </si>
  <si>
    <t>ตั้งแต่วันที่  1 ตุลาคม 2561  - 30  มิถุนายน  2562</t>
  </si>
  <si>
    <t>ตั้งแต่วันที่  1 ตุลาคม  2561 - 30  มิถุนายน  2562</t>
  </si>
  <si>
    <t>ตั้งแต่วันที่ 1 ตุลาคม 2561 ถึงวันที่  30 มิถุนายน  2562</t>
  </si>
  <si>
    <t>ปีงบประมาณ พ.ศ. 2562  ประจำไตรมาสที่ 3</t>
  </si>
  <si>
    <t>ไตรมาส 3 ตั้งแต่วันที่ 1 ตุลาคม 2561 ถึงวันที่ 30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</si>
</sst>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0"/>
      <color theme="1"/>
      <name val="Angsana New"/>
      <family val="1"/>
    </font>
    <font>
      <sz val="17"/>
      <color theme="1"/>
      <name val="Angsana New"/>
      <family val="1"/>
    </font>
    <font>
      <sz val="17"/>
      <color theme="1"/>
      <name val="Tahoma"/>
      <family val="2"/>
      <charset val="222"/>
      <scheme val="minor"/>
    </font>
    <font>
      <u/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u/>
      <sz val="11"/>
      <color theme="1"/>
      <name val="Tahoma"/>
      <family val="2"/>
      <scheme val="minor"/>
    </font>
    <font>
      <b/>
      <u/>
      <sz val="16"/>
      <color theme="1"/>
      <name val="Angsana New"/>
      <family val="1"/>
    </font>
    <font>
      <sz val="25"/>
      <color theme="1"/>
      <name val="Angsana New"/>
      <family val="1"/>
    </font>
    <font>
      <b/>
      <sz val="18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43" fontId="2" fillId="0" borderId="0" xfId="1" applyFont="1" applyBorder="1"/>
    <xf numFmtId="0" fontId="4" fillId="0" borderId="0" xfId="0" applyFont="1"/>
    <xf numFmtId="43" fontId="2" fillId="0" borderId="0" xfId="1" applyFont="1"/>
    <xf numFmtId="0" fontId="2" fillId="0" borderId="5" xfId="0" applyFont="1" applyBorder="1"/>
    <xf numFmtId="43" fontId="2" fillId="0" borderId="5" xfId="1" applyFont="1" applyBorder="1"/>
    <xf numFmtId="0" fontId="3" fillId="0" borderId="3" xfId="0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3" xfId="1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2" fillId="0" borderId="10" xfId="0" applyFont="1" applyBorder="1"/>
    <xf numFmtId="43" fontId="2" fillId="0" borderId="10" xfId="1" applyFont="1" applyBorder="1"/>
    <xf numFmtId="43" fontId="5" fillId="0" borderId="0" xfId="1" applyFont="1"/>
    <xf numFmtId="0" fontId="2" fillId="0" borderId="0" xfId="0" applyFont="1" applyAlignment="1">
      <alignment horizontal="left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3" xfId="1" applyFont="1" applyBorder="1" applyAlignment="1">
      <alignment horizontal="center"/>
    </xf>
    <xf numFmtId="43" fontId="2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3" fillId="0" borderId="5" xfId="1" applyFont="1" applyBorder="1" applyAlignment="1">
      <alignment horizontal="center"/>
    </xf>
    <xf numFmtId="43" fontId="2" fillId="0" borderId="8" xfId="1" applyFont="1" applyBorder="1"/>
    <xf numFmtId="0" fontId="0" fillId="0" borderId="5" xfId="0" applyBorder="1" applyAlignment="1">
      <alignment horizontal="center" vertical="center"/>
    </xf>
    <xf numFmtId="0" fontId="6" fillId="0" borderId="0" xfId="0" applyFont="1"/>
    <xf numFmtId="43" fontId="6" fillId="0" borderId="0" xfId="1" applyFont="1"/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3" fontId="2" fillId="0" borderId="0" xfId="1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/>
    <xf numFmtId="43" fontId="2" fillId="2" borderId="5" xfId="1" applyFont="1" applyFill="1" applyBorder="1" applyAlignment="1">
      <alignment horizontal="center"/>
    </xf>
    <xf numFmtId="43" fontId="2" fillId="2" borderId="5" xfId="1" applyFont="1" applyFill="1" applyBorder="1"/>
    <xf numFmtId="43" fontId="4" fillId="0" borderId="5" xfId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left"/>
    </xf>
    <xf numFmtId="43" fontId="11" fillId="0" borderId="1" xfId="1" applyFont="1" applyBorder="1" applyAlignment="1">
      <alignment horizontal="left"/>
    </xf>
    <xf numFmtId="43" fontId="11" fillId="0" borderId="1" xfId="0" applyNumberFormat="1" applyFont="1" applyBorder="1" applyAlignment="1">
      <alignment horizontal="left"/>
    </xf>
    <xf numFmtId="43" fontId="11" fillId="2" borderId="1" xfId="1" applyFont="1" applyFill="1" applyBorder="1" applyAlignment="1">
      <alignment horizontal="left"/>
    </xf>
    <xf numFmtId="43" fontId="11" fillId="3" borderId="8" xfId="1" applyFont="1" applyFill="1" applyBorder="1" applyAlignment="1">
      <alignment horizontal="center"/>
    </xf>
    <xf numFmtId="43" fontId="11" fillId="3" borderId="8" xfId="0" applyNumberFormat="1" applyFont="1" applyFill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6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43" fontId="11" fillId="0" borderId="18" xfId="1" applyFont="1" applyBorder="1" applyAlignment="1">
      <alignment horizontal="center"/>
    </xf>
    <xf numFmtId="43" fontId="11" fillId="0" borderId="9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0" xfId="1" applyFont="1" applyBorder="1"/>
    <xf numFmtId="43" fontId="11" fillId="0" borderId="0" xfId="1" applyFont="1"/>
    <xf numFmtId="43" fontId="11" fillId="3" borderId="14" xfId="1" applyFont="1" applyFill="1" applyBorder="1"/>
    <xf numFmtId="0" fontId="10" fillId="0" borderId="21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43" fontId="11" fillId="0" borderId="19" xfId="1" applyFont="1" applyBorder="1" applyAlignment="1">
      <alignment horizontal="center"/>
    </xf>
    <xf numFmtId="43" fontId="11" fillId="0" borderId="10" xfId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3" fontId="11" fillId="2" borderId="0" xfId="1" applyFont="1" applyFill="1" applyBorder="1"/>
    <xf numFmtId="0" fontId="11" fillId="0" borderId="7" xfId="0" applyFont="1" applyBorder="1" applyAlignment="1">
      <alignment horizontal="left"/>
    </xf>
    <xf numFmtId="43" fontId="11" fillId="2" borderId="2" xfId="1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1" applyFont="1" applyBorder="1" applyAlignment="1">
      <alignment horizontal="right"/>
    </xf>
    <xf numFmtId="43" fontId="11" fillId="0" borderId="1" xfId="1" applyFont="1" applyBorder="1" applyAlignment="1">
      <alignment horizontal="center" vertical="center"/>
    </xf>
    <xf numFmtId="43" fontId="2" fillId="2" borderId="5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3" fontId="11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43" fontId="2" fillId="4" borderId="8" xfId="0" applyNumberFormat="1" applyFont="1" applyFill="1" applyBorder="1" applyAlignment="1">
      <alignment horizontal="center"/>
    </xf>
    <xf numFmtId="43" fontId="2" fillId="4" borderId="22" xfId="0" applyNumberFormat="1" applyFont="1" applyFill="1" applyBorder="1" applyAlignment="1">
      <alignment horizontal="center"/>
    </xf>
    <xf numFmtId="43" fontId="2" fillId="4" borderId="8" xfId="1" applyFont="1" applyFill="1" applyBorder="1"/>
    <xf numFmtId="0" fontId="3" fillId="5" borderId="23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5" borderId="23" xfId="0" applyNumberFormat="1" applyFont="1" applyFill="1" applyBorder="1"/>
    <xf numFmtId="43" fontId="3" fillId="4" borderId="8" xfId="0" applyNumberFormat="1" applyFont="1" applyFill="1" applyBorder="1" applyAlignment="1"/>
    <xf numFmtId="43" fontId="3" fillId="5" borderId="23" xfId="0" applyNumberFormat="1" applyFont="1" applyFill="1" applyBorder="1"/>
    <xf numFmtId="43" fontId="2" fillId="0" borderId="1" xfId="0" applyNumberFormat="1" applyFont="1" applyBorder="1" applyAlignment="1">
      <alignment horizontal="center"/>
    </xf>
    <xf numFmtId="43" fontId="3" fillId="6" borderId="26" xfId="0" applyNumberFormat="1" applyFont="1" applyFill="1" applyBorder="1"/>
    <xf numFmtId="43" fontId="14" fillId="0" borderId="0" xfId="1" applyFont="1"/>
    <xf numFmtId="0" fontId="14" fillId="0" borderId="0" xfId="0" applyFont="1"/>
    <xf numFmtId="0" fontId="3" fillId="0" borderId="5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3" fontId="3" fillId="0" borderId="1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3" fillId="0" borderId="6" xfId="1" applyFont="1" applyBorder="1" applyAlignment="1">
      <alignment horizontal="center"/>
    </xf>
    <xf numFmtId="43" fontId="2" fillId="0" borderId="0" xfId="1" applyFont="1" applyAlignment="1">
      <alignment vertical="top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left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43" fontId="15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zoomScalePageLayoutView="80" workbookViewId="0">
      <selection activeCell="E16" sqref="E16"/>
    </sheetView>
  </sheetViews>
  <sheetFormatPr defaultRowHeight="23.25" x14ac:dyDescent="0.5"/>
  <cols>
    <col min="1" max="1" width="15.125" style="1" customWidth="1"/>
    <col min="2" max="2" width="24" style="1" customWidth="1"/>
    <col min="3" max="3" width="33.625" style="1" customWidth="1"/>
    <col min="4" max="4" width="15.125" style="7" customWidth="1"/>
    <col min="5" max="5" width="16.125" style="7" customWidth="1"/>
    <col min="6" max="6" width="14.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12</v>
      </c>
      <c r="B2" s="103"/>
      <c r="C2" s="103"/>
      <c r="D2" s="103"/>
      <c r="E2" s="103"/>
      <c r="F2" s="103"/>
    </row>
    <row r="3" spans="1:6" ht="26.25" x14ac:dyDescent="0.55000000000000004">
      <c r="A3" s="103" t="s">
        <v>171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10" t="s">
        <v>13</v>
      </c>
      <c r="B5" s="10" t="s">
        <v>4</v>
      </c>
      <c r="C5" s="10" t="s">
        <v>2</v>
      </c>
      <c r="D5" s="11" t="s">
        <v>14</v>
      </c>
      <c r="E5" s="11" t="s">
        <v>170</v>
      </c>
      <c r="F5" s="11" t="s">
        <v>1</v>
      </c>
    </row>
    <row r="6" spans="1:6" s="2" customFormat="1" x14ac:dyDescent="0.5">
      <c r="A6" s="12" t="s">
        <v>10</v>
      </c>
      <c r="B6" s="12" t="s">
        <v>10</v>
      </c>
      <c r="C6" s="12" t="s">
        <v>15</v>
      </c>
      <c r="D6" s="20"/>
      <c r="E6" s="20"/>
      <c r="F6" s="20"/>
    </row>
    <row r="7" spans="1:6" x14ac:dyDescent="0.5">
      <c r="A7" s="8"/>
      <c r="B7" s="8"/>
      <c r="C7" s="21" t="s">
        <v>16</v>
      </c>
      <c r="D7" s="9">
        <v>170000</v>
      </c>
      <c r="E7" s="9">
        <v>98111</v>
      </c>
      <c r="F7" s="9">
        <v>98111</v>
      </c>
    </row>
    <row r="8" spans="1:6" x14ac:dyDescent="0.5">
      <c r="A8" s="8"/>
      <c r="B8" s="8"/>
      <c r="C8" s="21" t="s">
        <v>117</v>
      </c>
      <c r="D8" s="9">
        <v>14300000</v>
      </c>
      <c r="E8" s="9">
        <f>10792700-800</f>
        <v>10791900</v>
      </c>
      <c r="F8" s="9">
        <f>10792700-800</f>
        <v>10791900</v>
      </c>
    </row>
    <row r="9" spans="1:6" x14ac:dyDescent="0.5">
      <c r="A9" s="8"/>
      <c r="B9" s="8"/>
      <c r="C9" s="21" t="s">
        <v>118</v>
      </c>
      <c r="D9" s="9">
        <v>5280000</v>
      </c>
      <c r="E9" s="9">
        <f>3724000-800</f>
        <v>3723200</v>
      </c>
      <c r="F9" s="9">
        <f>3724000-800</f>
        <v>3723200</v>
      </c>
    </row>
    <row r="10" spans="1:6" x14ac:dyDescent="0.5">
      <c r="A10" s="8"/>
      <c r="B10" s="8"/>
      <c r="C10" s="21" t="s">
        <v>114</v>
      </c>
      <c r="D10" s="9">
        <v>138000</v>
      </c>
      <c r="E10" s="9">
        <v>78000</v>
      </c>
      <c r="F10" s="9">
        <v>78000</v>
      </c>
    </row>
    <row r="11" spans="1:6" x14ac:dyDescent="0.5">
      <c r="A11" s="8"/>
      <c r="B11" s="8"/>
      <c r="C11" s="21" t="s">
        <v>115</v>
      </c>
      <c r="D11" s="9">
        <v>820000</v>
      </c>
      <c r="E11" s="9">
        <f>797458.5</f>
        <v>797458.5</v>
      </c>
      <c r="F11" s="9">
        <f>797458.5</f>
        <v>797458.5</v>
      </c>
    </row>
    <row r="12" spans="1:6" x14ac:dyDescent="0.5">
      <c r="A12" s="8"/>
      <c r="B12" s="8"/>
      <c r="C12" s="21" t="s">
        <v>116</v>
      </c>
      <c r="D12" s="9">
        <v>325000</v>
      </c>
      <c r="E12" s="9">
        <v>224865</v>
      </c>
      <c r="F12" s="9">
        <v>224865</v>
      </c>
    </row>
    <row r="13" spans="1:6" x14ac:dyDescent="0.5">
      <c r="A13" s="8"/>
      <c r="B13" s="8"/>
      <c r="C13" s="21" t="s">
        <v>130</v>
      </c>
      <c r="D13" s="9">
        <v>6000</v>
      </c>
      <c r="E13" s="9">
        <v>5146</v>
      </c>
      <c r="F13" s="9">
        <v>5146</v>
      </c>
    </row>
    <row r="14" spans="1:6" x14ac:dyDescent="0.5">
      <c r="A14" s="8"/>
      <c r="B14" s="8"/>
      <c r="C14" s="21" t="s">
        <v>131</v>
      </c>
      <c r="D14" s="9">
        <v>302000</v>
      </c>
      <c r="E14" s="9">
        <v>302000</v>
      </c>
      <c r="F14" s="9">
        <v>302000</v>
      </c>
    </row>
    <row r="15" spans="1:6" x14ac:dyDescent="0.5">
      <c r="A15" s="104" t="s">
        <v>1</v>
      </c>
      <c r="B15" s="104"/>
      <c r="C15" s="104"/>
      <c r="D15" s="13">
        <f>SUM(D7:D14)</f>
        <v>21341000</v>
      </c>
      <c r="E15" s="13">
        <f>SUM(E7:E14)</f>
        <v>16020680.5</v>
      </c>
      <c r="F15" s="13">
        <f>SUM(F7:F14)</f>
        <v>16020680.5</v>
      </c>
    </row>
    <row r="16" spans="1:6" x14ac:dyDescent="0.5">
      <c r="A16" s="14"/>
      <c r="B16" s="14"/>
      <c r="C16" s="14"/>
      <c r="D16" s="5"/>
      <c r="E16" s="5"/>
      <c r="F16" s="5"/>
    </row>
    <row r="17" spans="1:6" x14ac:dyDescent="0.5">
      <c r="C17" s="19"/>
    </row>
    <row r="18" spans="1:6" x14ac:dyDescent="0.5">
      <c r="A18" s="105"/>
      <c r="B18" s="106"/>
      <c r="C18" s="106"/>
      <c r="D18" s="106"/>
      <c r="E18" s="106"/>
      <c r="F18" s="106"/>
    </row>
    <row r="19" spans="1:6" x14ac:dyDescent="0.5">
      <c r="A19" s="101"/>
      <c r="B19" s="102"/>
      <c r="C19" s="102"/>
      <c r="D19" s="102"/>
      <c r="E19" s="102"/>
      <c r="F19" s="102"/>
    </row>
    <row r="20" spans="1:6" x14ac:dyDescent="0.5">
      <c r="A20" s="101"/>
      <c r="B20" s="102"/>
      <c r="C20" s="102"/>
      <c r="D20" s="102"/>
      <c r="E20" s="102"/>
      <c r="F20" s="102"/>
    </row>
  </sheetData>
  <mergeCells count="7">
    <mergeCell ref="A20:F20"/>
    <mergeCell ref="A1:F1"/>
    <mergeCell ref="A2:F2"/>
    <mergeCell ref="A15:C15"/>
    <mergeCell ref="A18:F18"/>
    <mergeCell ref="A19:F19"/>
    <mergeCell ref="A3:F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="80" zoomScaleNormal="90" zoomScalePageLayoutView="80" workbookViewId="0">
      <selection activeCell="E16" sqref="E16"/>
    </sheetView>
  </sheetViews>
  <sheetFormatPr defaultRowHeight="23.25" x14ac:dyDescent="0.5"/>
  <cols>
    <col min="1" max="1" width="14.875" style="1" customWidth="1"/>
    <col min="2" max="2" width="20.25" style="1" customWidth="1"/>
    <col min="3" max="3" width="17.625" style="1" customWidth="1"/>
    <col min="4" max="4" width="17.5" style="7" customWidth="1"/>
    <col min="5" max="5" width="18.5" style="7" customWidth="1"/>
    <col min="6" max="6" width="19" style="7" customWidth="1"/>
    <col min="7" max="7" width="17.5" style="7" customWidth="1"/>
    <col min="8" max="16384" width="9" style="1"/>
  </cols>
  <sheetData>
    <row r="1" spans="1:7" ht="26.25" x14ac:dyDescent="0.55000000000000004">
      <c r="A1" s="103" t="s">
        <v>0</v>
      </c>
      <c r="B1" s="103"/>
      <c r="C1" s="103"/>
      <c r="D1" s="103"/>
      <c r="E1" s="103"/>
      <c r="F1" s="103"/>
      <c r="G1" s="103"/>
    </row>
    <row r="2" spans="1:7" ht="26.25" x14ac:dyDescent="0.55000000000000004">
      <c r="A2" s="103" t="s">
        <v>56</v>
      </c>
      <c r="B2" s="103"/>
      <c r="C2" s="103"/>
      <c r="D2" s="103"/>
      <c r="E2" s="103"/>
      <c r="F2" s="103"/>
      <c r="G2" s="103"/>
    </row>
    <row r="3" spans="1:7" ht="26.25" x14ac:dyDescent="0.55000000000000004">
      <c r="A3" s="103" t="s">
        <v>171</v>
      </c>
      <c r="B3" s="103"/>
      <c r="C3" s="103"/>
      <c r="D3" s="103"/>
      <c r="E3" s="103"/>
      <c r="F3" s="103"/>
      <c r="G3" s="103"/>
    </row>
    <row r="4" spans="1:7" s="15" customFormat="1" ht="14.25" x14ac:dyDescent="0.3">
      <c r="D4" s="18"/>
      <c r="E4" s="18"/>
      <c r="F4" s="18"/>
      <c r="G4" s="18"/>
    </row>
    <row r="5" spans="1:7" x14ac:dyDescent="0.5">
      <c r="A5" s="109" t="s">
        <v>13</v>
      </c>
      <c r="B5" s="109" t="s">
        <v>4</v>
      </c>
      <c r="C5" s="109" t="s">
        <v>2</v>
      </c>
      <c r="D5" s="109" t="s">
        <v>14</v>
      </c>
      <c r="E5" s="107" t="s">
        <v>172</v>
      </c>
      <c r="F5" s="108"/>
      <c r="G5" s="25" t="s">
        <v>1</v>
      </c>
    </row>
    <row r="6" spans="1:7" x14ac:dyDescent="0.5">
      <c r="A6" s="110"/>
      <c r="B6" s="110"/>
      <c r="C6" s="110"/>
      <c r="D6" s="110"/>
      <c r="E6" s="25" t="s">
        <v>57</v>
      </c>
      <c r="F6" s="25" t="s">
        <v>59</v>
      </c>
      <c r="G6" s="28"/>
    </row>
    <row r="7" spans="1:7" x14ac:dyDescent="0.5">
      <c r="A7" s="111"/>
      <c r="B7" s="111"/>
      <c r="C7" s="111"/>
      <c r="D7" s="111"/>
      <c r="E7" s="26" t="s">
        <v>58</v>
      </c>
      <c r="F7" s="26" t="s">
        <v>60</v>
      </c>
      <c r="G7" s="26"/>
    </row>
    <row r="8" spans="1:7" s="2" customFormat="1" x14ac:dyDescent="0.5">
      <c r="A8" s="21" t="s">
        <v>20</v>
      </c>
      <c r="B8" s="21" t="s">
        <v>22</v>
      </c>
      <c r="C8" s="12" t="s">
        <v>5</v>
      </c>
      <c r="D8" s="20">
        <v>0</v>
      </c>
      <c r="E8" s="20">
        <v>0</v>
      </c>
      <c r="F8" s="20">
        <v>0</v>
      </c>
      <c r="G8" s="20">
        <f>SUM(E8:F8)</f>
        <v>0</v>
      </c>
    </row>
    <row r="9" spans="1:7" x14ac:dyDescent="0.5">
      <c r="A9" s="8"/>
      <c r="B9" s="21" t="s">
        <v>21</v>
      </c>
      <c r="C9" s="21"/>
      <c r="D9" s="20">
        <v>0</v>
      </c>
      <c r="E9" s="20">
        <v>0</v>
      </c>
      <c r="F9" s="20">
        <v>0</v>
      </c>
      <c r="G9" s="9">
        <f>SUM(E8:F9)</f>
        <v>0</v>
      </c>
    </row>
    <row r="10" spans="1:7" x14ac:dyDescent="0.5">
      <c r="A10" s="8" t="s">
        <v>23</v>
      </c>
      <c r="B10" s="21" t="s">
        <v>11</v>
      </c>
      <c r="C10" s="21"/>
      <c r="D10" s="20">
        <v>0</v>
      </c>
      <c r="E10" s="20">
        <v>0</v>
      </c>
      <c r="F10" s="20">
        <v>0</v>
      </c>
      <c r="G10" s="9">
        <f>SUM(E10:F10)</f>
        <v>0</v>
      </c>
    </row>
    <row r="11" spans="1:7" x14ac:dyDescent="0.5">
      <c r="A11" s="8"/>
      <c r="B11" s="21" t="s">
        <v>6</v>
      </c>
      <c r="C11" s="21"/>
      <c r="D11" s="20">
        <f>118800+10000+15000+15000</f>
        <v>158800</v>
      </c>
      <c r="E11" s="20">
        <f>10232+2440</f>
        <v>12672</v>
      </c>
      <c r="F11" s="20">
        <v>0</v>
      </c>
      <c r="G11" s="9">
        <f>SUM(E11:F11)</f>
        <v>12672</v>
      </c>
    </row>
    <row r="12" spans="1:7" x14ac:dyDescent="0.5">
      <c r="A12" s="8"/>
      <c r="B12" s="21" t="s">
        <v>9</v>
      </c>
      <c r="C12" s="21"/>
      <c r="D12" s="20">
        <f>10000</f>
        <v>10000</v>
      </c>
      <c r="E12" s="20">
        <v>0</v>
      </c>
      <c r="F12" s="20">
        <v>0</v>
      </c>
      <c r="G12" s="9">
        <f>SUM(E12:F12)</f>
        <v>0</v>
      </c>
    </row>
    <row r="13" spans="1:7" x14ac:dyDescent="0.5">
      <c r="A13" s="8"/>
      <c r="B13" s="21" t="s">
        <v>24</v>
      </c>
      <c r="C13" s="21"/>
      <c r="D13" s="20">
        <v>0</v>
      </c>
      <c r="E13" s="20">
        <v>0</v>
      </c>
      <c r="F13" s="20">
        <v>0</v>
      </c>
      <c r="G13" s="9">
        <f>SUM(E13:F13)</f>
        <v>0</v>
      </c>
    </row>
    <row r="14" spans="1:7" x14ac:dyDescent="0.5">
      <c r="A14" s="8" t="s">
        <v>25</v>
      </c>
      <c r="B14" s="21" t="s">
        <v>26</v>
      </c>
      <c r="C14" s="21"/>
      <c r="D14" s="20">
        <v>0</v>
      </c>
      <c r="E14" s="20">
        <v>0</v>
      </c>
      <c r="F14" s="20">
        <v>0</v>
      </c>
      <c r="G14" s="9">
        <f>SUM(E14:F14)</f>
        <v>0</v>
      </c>
    </row>
    <row r="15" spans="1:7" x14ac:dyDescent="0.5">
      <c r="A15" s="8"/>
      <c r="B15" s="21" t="s">
        <v>27</v>
      </c>
      <c r="C15" s="21"/>
      <c r="D15" s="20">
        <f>497000</f>
        <v>497000</v>
      </c>
      <c r="E15" s="20">
        <v>497000</v>
      </c>
      <c r="F15" s="20">
        <v>0</v>
      </c>
      <c r="G15" s="9">
        <f>SUM(E14:F15)</f>
        <v>497000</v>
      </c>
    </row>
    <row r="16" spans="1:7" x14ac:dyDescent="0.5">
      <c r="A16" s="8" t="s">
        <v>28</v>
      </c>
      <c r="B16" s="21" t="s">
        <v>7</v>
      </c>
      <c r="C16" s="21"/>
      <c r="D16" s="20">
        <v>0</v>
      </c>
      <c r="E16" s="20">
        <v>0</v>
      </c>
      <c r="F16" s="20">
        <v>0</v>
      </c>
      <c r="G16" s="9">
        <f>SUM(E16:F16)</f>
        <v>0</v>
      </c>
    </row>
    <row r="17" spans="1:7" x14ac:dyDescent="0.5">
      <c r="A17" s="8" t="s">
        <v>29</v>
      </c>
      <c r="B17" s="21" t="s">
        <v>30</v>
      </c>
      <c r="C17" s="21"/>
      <c r="D17" s="20">
        <v>0</v>
      </c>
      <c r="E17" s="20">
        <v>0</v>
      </c>
      <c r="F17" s="20">
        <v>0</v>
      </c>
      <c r="G17" s="9">
        <f>SUM(E17:F17)</f>
        <v>0</v>
      </c>
    </row>
    <row r="18" spans="1:7" x14ac:dyDescent="0.5">
      <c r="A18" s="104" t="s">
        <v>1</v>
      </c>
      <c r="B18" s="104"/>
      <c r="C18" s="104"/>
      <c r="D18" s="23">
        <f>SUM(D8:D17)</f>
        <v>665800</v>
      </c>
      <c r="E18" s="13">
        <f>SUM(E8:E17)</f>
        <v>509672</v>
      </c>
      <c r="F18" s="13">
        <f>SUM(F8:F17)</f>
        <v>0</v>
      </c>
      <c r="G18" s="13">
        <f>SUM(G8:G17)</f>
        <v>509672</v>
      </c>
    </row>
    <row r="19" spans="1:7" x14ac:dyDescent="0.5">
      <c r="C19" s="19"/>
      <c r="D19" s="24"/>
    </row>
    <row r="20" spans="1:7" x14ac:dyDescent="0.5">
      <c r="A20" s="101"/>
      <c r="B20" s="102"/>
      <c r="C20" s="102"/>
      <c r="D20" s="102"/>
      <c r="E20" s="102"/>
      <c r="F20" s="102"/>
      <c r="G20" s="102"/>
    </row>
    <row r="21" spans="1:7" x14ac:dyDescent="0.5">
      <c r="A21" s="101"/>
      <c r="B21" s="102"/>
      <c r="C21" s="102"/>
      <c r="D21" s="102"/>
      <c r="E21" s="102"/>
      <c r="F21" s="102"/>
      <c r="G21" s="102"/>
    </row>
    <row r="22" spans="1:7" x14ac:dyDescent="0.5">
      <c r="C22" s="114"/>
      <c r="D22" s="114"/>
      <c r="E22" s="114"/>
    </row>
  </sheetData>
  <mergeCells count="12">
    <mergeCell ref="C22:E22"/>
    <mergeCell ref="A18:C18"/>
    <mergeCell ref="A20:G20"/>
    <mergeCell ref="A21:G21"/>
    <mergeCell ref="A1:G1"/>
    <mergeCell ref="A2:G2"/>
    <mergeCell ref="A3:G3"/>
    <mergeCell ref="A5:A7"/>
    <mergeCell ref="B5:B7"/>
    <mergeCell ref="C5:C7"/>
    <mergeCell ref="D5:D7"/>
    <mergeCell ref="E5:F5"/>
  </mergeCells>
  <pageMargins left="0.84635416666666663" right="0.23622047244094491" top="0.40509259259259262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="80" zoomScaleNormal="90" zoomScalePageLayoutView="80" workbookViewId="0">
      <selection activeCell="E13" sqref="E13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1.625" style="7" customWidth="1"/>
    <col min="6" max="6" width="20.87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61</v>
      </c>
      <c r="B2" s="103"/>
      <c r="C2" s="103"/>
      <c r="D2" s="103"/>
      <c r="E2" s="103"/>
      <c r="F2" s="103"/>
    </row>
    <row r="3" spans="1:6" ht="26.25" x14ac:dyDescent="0.55000000000000004">
      <c r="A3" s="103" t="s">
        <v>173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38" t="s">
        <v>13</v>
      </c>
      <c r="B5" s="38" t="s">
        <v>4</v>
      </c>
      <c r="C5" s="38" t="s">
        <v>2</v>
      </c>
      <c r="D5" s="25" t="s">
        <v>14</v>
      </c>
      <c r="E5" s="25" t="s">
        <v>172</v>
      </c>
      <c r="F5" s="25" t="s">
        <v>1</v>
      </c>
    </row>
    <row r="6" spans="1:6" x14ac:dyDescent="0.5">
      <c r="A6" s="39"/>
      <c r="B6" s="39"/>
      <c r="C6" s="39"/>
      <c r="D6" s="26"/>
      <c r="E6" s="11" t="s">
        <v>62</v>
      </c>
      <c r="F6" s="26"/>
    </row>
    <row r="7" spans="1:6" s="2" customFormat="1" x14ac:dyDescent="0.5">
      <c r="A7" s="21" t="s">
        <v>20</v>
      </c>
      <c r="B7" s="21" t="s">
        <v>22</v>
      </c>
      <c r="C7" s="12" t="s">
        <v>15</v>
      </c>
      <c r="D7" s="20">
        <v>0</v>
      </c>
      <c r="E7" s="20">
        <v>0</v>
      </c>
      <c r="F7" s="20">
        <f t="shared" ref="F7:F16" si="0">SUM(E7:E7)</f>
        <v>0</v>
      </c>
    </row>
    <row r="8" spans="1:6" x14ac:dyDescent="0.5">
      <c r="A8" s="8"/>
      <c r="B8" s="21" t="s">
        <v>21</v>
      </c>
      <c r="C8" s="21"/>
      <c r="D8" s="22">
        <v>0</v>
      </c>
      <c r="E8" s="9">
        <v>0</v>
      </c>
      <c r="F8" s="9">
        <f t="shared" si="0"/>
        <v>0</v>
      </c>
    </row>
    <row r="9" spans="1:6" x14ac:dyDescent="0.5">
      <c r="A9" s="8" t="s">
        <v>23</v>
      </c>
      <c r="B9" s="21" t="s">
        <v>11</v>
      </c>
      <c r="C9" s="21"/>
      <c r="D9" s="22">
        <v>0</v>
      </c>
      <c r="E9" s="9">
        <v>0</v>
      </c>
      <c r="F9" s="20">
        <f t="shared" si="0"/>
        <v>0</v>
      </c>
    </row>
    <row r="10" spans="1:6" x14ac:dyDescent="0.5">
      <c r="A10" s="8"/>
      <c r="B10" s="21" t="s">
        <v>6</v>
      </c>
      <c r="C10" s="21"/>
      <c r="D10" s="22">
        <f>150000</f>
        <v>150000</v>
      </c>
      <c r="E10" s="9">
        <v>0</v>
      </c>
      <c r="F10" s="9">
        <f t="shared" si="0"/>
        <v>0</v>
      </c>
    </row>
    <row r="11" spans="1:6" x14ac:dyDescent="0.5">
      <c r="A11" s="8"/>
      <c r="B11" s="21" t="s">
        <v>9</v>
      </c>
      <c r="C11" s="21"/>
      <c r="D11" s="22">
        <f>10000+100000</f>
        <v>110000</v>
      </c>
      <c r="E11" s="9">
        <v>35890</v>
      </c>
      <c r="F11" s="20">
        <f t="shared" si="0"/>
        <v>35890</v>
      </c>
    </row>
    <row r="12" spans="1:6" x14ac:dyDescent="0.5">
      <c r="A12" s="8"/>
      <c r="B12" s="21" t="s">
        <v>24</v>
      </c>
      <c r="C12" s="21"/>
      <c r="D12" s="22">
        <f>300000+1600000</f>
        <v>1900000</v>
      </c>
      <c r="E12" s="9">
        <f>258336.57+1302872.13</f>
        <v>1561208.7</v>
      </c>
      <c r="F12" s="9">
        <f t="shared" si="0"/>
        <v>1561208.7</v>
      </c>
    </row>
    <row r="13" spans="1:6" x14ac:dyDescent="0.5">
      <c r="A13" s="8" t="s">
        <v>25</v>
      </c>
      <c r="B13" s="21" t="s">
        <v>26</v>
      </c>
      <c r="C13" s="21"/>
      <c r="D13" s="22">
        <v>0</v>
      </c>
      <c r="E13" s="9">
        <v>0</v>
      </c>
      <c r="F13" s="20">
        <f t="shared" si="0"/>
        <v>0</v>
      </c>
    </row>
    <row r="14" spans="1:6" x14ac:dyDescent="0.5">
      <c r="A14" s="8"/>
      <c r="B14" s="21" t="s">
        <v>27</v>
      </c>
      <c r="C14" s="21"/>
      <c r="D14" s="22">
        <v>0</v>
      </c>
      <c r="E14" s="9">
        <v>0</v>
      </c>
      <c r="F14" s="9">
        <f t="shared" si="0"/>
        <v>0</v>
      </c>
    </row>
    <row r="15" spans="1:6" x14ac:dyDescent="0.5">
      <c r="A15" s="8" t="s">
        <v>28</v>
      </c>
      <c r="B15" s="21" t="s">
        <v>7</v>
      </c>
      <c r="C15" s="21"/>
      <c r="D15" s="22">
        <v>0</v>
      </c>
      <c r="E15" s="9">
        <v>0</v>
      </c>
      <c r="F15" s="20">
        <f t="shared" si="0"/>
        <v>0</v>
      </c>
    </row>
    <row r="16" spans="1:6" x14ac:dyDescent="0.5">
      <c r="A16" s="8" t="s">
        <v>29</v>
      </c>
      <c r="B16" s="21" t="s">
        <v>30</v>
      </c>
      <c r="C16" s="21"/>
      <c r="D16" s="22">
        <v>0</v>
      </c>
      <c r="E16" s="9">
        <v>0</v>
      </c>
      <c r="F16" s="9">
        <f t="shared" si="0"/>
        <v>0</v>
      </c>
    </row>
    <row r="17" spans="1:7" x14ac:dyDescent="0.5">
      <c r="A17" s="104" t="s">
        <v>1</v>
      </c>
      <c r="B17" s="104"/>
      <c r="C17" s="104"/>
      <c r="D17" s="23">
        <f>SUM(D7:D16)</f>
        <v>2160000</v>
      </c>
      <c r="E17" s="13">
        <f>SUM(E7:E16)</f>
        <v>1597098.7</v>
      </c>
      <c r="F17" s="13">
        <f>SUM(F7:F16)</f>
        <v>1597098.7</v>
      </c>
    </row>
    <row r="18" spans="1:7" x14ac:dyDescent="0.5">
      <c r="A18" s="14"/>
      <c r="B18" s="14"/>
      <c r="C18" s="14"/>
      <c r="D18" s="35"/>
      <c r="E18" s="5"/>
      <c r="F18" s="5"/>
    </row>
    <row r="19" spans="1:7" x14ac:dyDescent="0.5">
      <c r="C19" s="19"/>
      <c r="D19" s="24"/>
    </row>
    <row r="20" spans="1:7" x14ac:dyDescent="0.5">
      <c r="A20" s="101"/>
      <c r="B20" s="102"/>
      <c r="C20" s="102"/>
      <c r="D20" s="102"/>
      <c r="E20" s="102"/>
      <c r="F20" s="102"/>
      <c r="G20" s="102"/>
    </row>
    <row r="21" spans="1:7" x14ac:dyDescent="0.5">
      <c r="A21" s="101"/>
      <c r="B21" s="102"/>
      <c r="C21" s="102"/>
      <c r="D21" s="102"/>
      <c r="E21" s="102"/>
      <c r="F21" s="102"/>
      <c r="G21" s="102"/>
    </row>
    <row r="22" spans="1:7" x14ac:dyDescent="0.5">
      <c r="C22" s="115"/>
      <c r="D22" s="115"/>
      <c r="E22" s="115"/>
      <c r="G22" s="7"/>
    </row>
  </sheetData>
  <mergeCells count="7">
    <mergeCell ref="C22:E22"/>
    <mergeCell ref="A1:F1"/>
    <mergeCell ref="A2:F2"/>
    <mergeCell ref="A3:F3"/>
    <mergeCell ref="A17:C17"/>
    <mergeCell ref="A20:G20"/>
    <mergeCell ref="A21:G21"/>
  </mergeCells>
  <pageMargins left="0.9375" right="0.25" top="0.53385416666666663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zoomScaleNormal="80" zoomScalePageLayoutView="50" workbookViewId="0">
      <selection activeCell="F14" sqref="F14"/>
    </sheetView>
  </sheetViews>
  <sheetFormatPr defaultRowHeight="23.25" x14ac:dyDescent="0.5"/>
  <cols>
    <col min="1" max="1" width="12.375" style="1" customWidth="1"/>
    <col min="2" max="2" width="18.875" style="1" customWidth="1"/>
    <col min="3" max="3" width="22.125" style="1" customWidth="1"/>
    <col min="4" max="4" width="16.125" style="7" customWidth="1"/>
    <col min="5" max="6" width="17.125" style="7" customWidth="1"/>
    <col min="7" max="7" width="16.5" style="7" customWidth="1"/>
    <col min="8" max="8" width="17" style="7" customWidth="1"/>
    <col min="9" max="16384" width="9" style="1"/>
  </cols>
  <sheetData>
    <row r="1" spans="1:8" ht="26.25" x14ac:dyDescent="0.55000000000000004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26.25" x14ac:dyDescent="0.55000000000000004">
      <c r="A2" s="103" t="s">
        <v>17</v>
      </c>
      <c r="B2" s="103"/>
      <c r="C2" s="103"/>
      <c r="D2" s="103"/>
      <c r="E2" s="103"/>
      <c r="F2" s="103"/>
      <c r="G2" s="103"/>
      <c r="H2" s="103"/>
    </row>
    <row r="3" spans="1:8" ht="26.25" x14ac:dyDescent="0.55000000000000004">
      <c r="A3" s="103" t="s">
        <v>177</v>
      </c>
      <c r="B3" s="103"/>
      <c r="C3" s="103"/>
      <c r="D3" s="103"/>
      <c r="E3" s="103"/>
      <c r="F3" s="103"/>
      <c r="G3" s="103"/>
      <c r="H3" s="103"/>
    </row>
    <row r="4" spans="1:8" s="15" customFormat="1" ht="14.25" x14ac:dyDescent="0.3">
      <c r="D4" s="18"/>
      <c r="E4" s="18"/>
      <c r="F4" s="18"/>
      <c r="G4" s="18"/>
      <c r="H4" s="18"/>
    </row>
    <row r="5" spans="1:8" x14ac:dyDescent="0.5">
      <c r="A5" s="38" t="s">
        <v>13</v>
      </c>
      <c r="B5" s="38" t="s">
        <v>4</v>
      </c>
      <c r="C5" s="38" t="s">
        <v>2</v>
      </c>
      <c r="D5" s="25" t="s">
        <v>14</v>
      </c>
      <c r="E5" s="107" t="s">
        <v>172</v>
      </c>
      <c r="F5" s="112"/>
      <c r="G5" s="108"/>
      <c r="H5" s="25" t="s">
        <v>1</v>
      </c>
    </row>
    <row r="6" spans="1:8" x14ac:dyDescent="0.5">
      <c r="A6" s="98"/>
      <c r="B6" s="98"/>
      <c r="C6" s="98"/>
      <c r="D6" s="28"/>
      <c r="E6" s="25" t="s">
        <v>18</v>
      </c>
      <c r="F6" s="25" t="s">
        <v>100</v>
      </c>
      <c r="G6" s="25" t="s">
        <v>19</v>
      </c>
      <c r="H6" s="28"/>
    </row>
    <row r="7" spans="1:8" x14ac:dyDescent="0.5">
      <c r="A7" s="39"/>
      <c r="B7" s="39"/>
      <c r="C7" s="39"/>
      <c r="D7" s="26"/>
      <c r="E7" s="26"/>
      <c r="F7" s="26" t="s">
        <v>101</v>
      </c>
      <c r="G7" s="26"/>
      <c r="H7" s="26"/>
    </row>
    <row r="8" spans="1:8" s="2" customFormat="1" x14ac:dyDescent="0.5">
      <c r="A8" s="21" t="s">
        <v>20</v>
      </c>
      <c r="B8" s="21" t="s">
        <v>22</v>
      </c>
      <c r="C8" s="12" t="s">
        <v>5</v>
      </c>
      <c r="D8" s="41">
        <f>590000+52000+52000+100000+2800000</f>
        <v>3594000</v>
      </c>
      <c r="E8" s="41">
        <f>391570+33587+33587+68040+1890990</f>
        <v>2417774</v>
      </c>
      <c r="F8" s="20"/>
      <c r="G8" s="20">
        <v>0</v>
      </c>
      <c r="H8" s="20">
        <f>SUM(E8:G8)</f>
        <v>2417774</v>
      </c>
    </row>
    <row r="9" spans="1:8" x14ac:dyDescent="0.5">
      <c r="A9" s="8"/>
      <c r="B9" s="21" t="s">
        <v>21</v>
      </c>
      <c r="C9" s="21"/>
      <c r="D9" s="75">
        <f>4065850+84000+204000+2000000+216000+1500000+20000+60000+200000+320000+40000</f>
        <v>8709850</v>
      </c>
      <c r="E9" s="42">
        <f>2883140+63000+153000+1192320+90625</f>
        <v>4382085</v>
      </c>
      <c r="F9" s="9"/>
      <c r="G9" s="9">
        <f>987180+31500+142410+232020+13185</f>
        <v>1406295</v>
      </c>
      <c r="H9" s="9">
        <f>SUM(E9:G9)</f>
        <v>5788380</v>
      </c>
    </row>
    <row r="10" spans="1:8" x14ac:dyDescent="0.5">
      <c r="A10" s="8" t="s">
        <v>23</v>
      </c>
      <c r="B10" s="21" t="s">
        <v>11</v>
      </c>
      <c r="C10" s="21"/>
      <c r="D10" s="75">
        <f>515000+74360+260640+40000+210000+20000+100000+40000</f>
        <v>1260000</v>
      </c>
      <c r="E10" s="42">
        <f>62160+166083+11450</f>
        <v>239693</v>
      </c>
      <c r="F10" s="9"/>
      <c r="G10" s="9">
        <f>13020+72580+10970</f>
        <v>96570</v>
      </c>
      <c r="H10" s="20">
        <f t="shared" ref="H10:H17" si="0">SUM(E10:G10)</f>
        <v>336263</v>
      </c>
    </row>
    <row r="11" spans="1:8" x14ac:dyDescent="0.5">
      <c r="A11" s="8"/>
      <c r="B11" s="21" t="s">
        <v>6</v>
      </c>
      <c r="C11" s="21"/>
      <c r="D11" s="75">
        <f>2690000+45000+68000</f>
        <v>2803000</v>
      </c>
      <c r="E11" s="42">
        <f>434041.01+6480+100823+2000+46534</f>
        <v>589878.01</v>
      </c>
      <c r="F11" s="9">
        <v>7700</v>
      </c>
      <c r="G11" s="9">
        <f>28290+389115</f>
        <v>417405</v>
      </c>
      <c r="H11" s="9">
        <f t="shared" si="0"/>
        <v>1014983.01</v>
      </c>
    </row>
    <row r="12" spans="1:8" x14ac:dyDescent="0.5">
      <c r="A12" s="8"/>
      <c r="B12" s="21" t="s">
        <v>9</v>
      </c>
      <c r="C12" s="21"/>
      <c r="D12" s="22">
        <v>810000</v>
      </c>
      <c r="E12" s="42">
        <f>201078+25240+9775+41971.88+8540+19900+10392+55470</f>
        <v>372366.88</v>
      </c>
      <c r="F12" s="9"/>
      <c r="G12" s="9">
        <f>19500+38520</f>
        <v>58020</v>
      </c>
      <c r="H12" s="20">
        <f t="shared" si="0"/>
        <v>430386.88</v>
      </c>
    </row>
    <row r="13" spans="1:8" x14ac:dyDescent="0.5">
      <c r="A13" s="8"/>
      <c r="B13" s="21" t="s">
        <v>24</v>
      </c>
      <c r="C13" s="21"/>
      <c r="D13" s="22">
        <f>350000+45000+5000+50000+100000</f>
        <v>550000</v>
      </c>
      <c r="E13" s="42">
        <f>280698.36+26162.9+963+11694+62563.97</f>
        <v>382082.23</v>
      </c>
      <c r="F13" s="9"/>
      <c r="G13" s="9">
        <v>0</v>
      </c>
      <c r="H13" s="9">
        <f t="shared" si="0"/>
        <v>382082.23</v>
      </c>
    </row>
    <row r="14" spans="1:8" x14ac:dyDescent="0.5">
      <c r="A14" s="8" t="s">
        <v>25</v>
      </c>
      <c r="B14" s="21" t="s">
        <v>26</v>
      </c>
      <c r="C14" s="21"/>
      <c r="D14" s="22">
        <v>358000</v>
      </c>
      <c r="E14" s="42">
        <v>0</v>
      </c>
      <c r="F14" s="9"/>
      <c r="G14" s="9">
        <v>0</v>
      </c>
      <c r="H14" s="20">
        <f t="shared" si="0"/>
        <v>0</v>
      </c>
    </row>
    <row r="15" spans="1:8" x14ac:dyDescent="0.5">
      <c r="A15" s="8"/>
      <c r="B15" s="21" t="s">
        <v>27</v>
      </c>
      <c r="C15" s="21"/>
      <c r="D15" s="22">
        <v>0</v>
      </c>
      <c r="E15" s="42">
        <v>0</v>
      </c>
      <c r="F15" s="9"/>
      <c r="G15" s="9">
        <v>0</v>
      </c>
      <c r="H15" s="9">
        <f t="shared" si="0"/>
        <v>0</v>
      </c>
    </row>
    <row r="16" spans="1:8" x14ac:dyDescent="0.5">
      <c r="A16" s="8" t="s">
        <v>28</v>
      </c>
      <c r="B16" s="21" t="s">
        <v>7</v>
      </c>
      <c r="C16" s="21"/>
      <c r="D16" s="22">
        <v>25000</v>
      </c>
      <c r="E16" s="9">
        <v>0</v>
      </c>
      <c r="F16" s="9"/>
      <c r="G16" s="9">
        <v>0</v>
      </c>
      <c r="H16" s="20">
        <f t="shared" si="0"/>
        <v>0</v>
      </c>
    </row>
    <row r="17" spans="1:9" x14ac:dyDescent="0.5">
      <c r="A17" s="8" t="s">
        <v>29</v>
      </c>
      <c r="B17" s="21" t="s">
        <v>30</v>
      </c>
      <c r="C17" s="21"/>
      <c r="D17" s="22">
        <f>59750</f>
        <v>59750</v>
      </c>
      <c r="E17" s="9">
        <v>59750</v>
      </c>
      <c r="F17" s="9"/>
      <c r="G17" s="9">
        <v>0</v>
      </c>
      <c r="H17" s="9">
        <f t="shared" si="0"/>
        <v>59750</v>
      </c>
    </row>
    <row r="18" spans="1:9" x14ac:dyDescent="0.5">
      <c r="A18" s="104" t="s">
        <v>1</v>
      </c>
      <c r="B18" s="104"/>
      <c r="C18" s="104"/>
      <c r="D18" s="23">
        <f>SUM(D8:D17)</f>
        <v>18169600</v>
      </c>
      <c r="E18" s="13">
        <f>SUM(E8:E17)</f>
        <v>8443629.1199999992</v>
      </c>
      <c r="F18" s="13">
        <f>SUM(F8:F17)</f>
        <v>7700</v>
      </c>
      <c r="G18" s="13">
        <f>SUM(G8:G17)</f>
        <v>1978290</v>
      </c>
      <c r="H18" s="13">
        <f>SUM(E18:G18)</f>
        <v>10429619.119999999</v>
      </c>
    </row>
    <row r="19" spans="1:9" x14ac:dyDescent="0.5">
      <c r="C19" s="19"/>
      <c r="D19" s="24"/>
    </row>
    <row r="20" spans="1:9" x14ac:dyDescent="0.5">
      <c r="A20" s="101"/>
      <c r="B20" s="102"/>
      <c r="C20" s="102"/>
      <c r="D20" s="102"/>
      <c r="E20" s="102"/>
      <c r="F20" s="102"/>
      <c r="G20" s="102"/>
      <c r="H20" s="102"/>
    </row>
    <row r="21" spans="1:9" x14ac:dyDescent="0.5">
      <c r="A21" s="101"/>
      <c r="B21" s="102"/>
      <c r="C21" s="102"/>
      <c r="D21" s="102"/>
      <c r="E21" s="102"/>
      <c r="F21" s="102"/>
      <c r="G21" s="102"/>
      <c r="H21" s="102"/>
    </row>
    <row r="22" spans="1:9" x14ac:dyDescent="0.5">
      <c r="C22" s="7"/>
    </row>
    <row r="23" spans="1:9" x14ac:dyDescent="0.5">
      <c r="I23" s="1" t="s">
        <v>132</v>
      </c>
    </row>
  </sheetData>
  <mergeCells count="7">
    <mergeCell ref="A21:H21"/>
    <mergeCell ref="A1:H1"/>
    <mergeCell ref="A2:H2"/>
    <mergeCell ref="A3:H3"/>
    <mergeCell ref="A18:C18"/>
    <mergeCell ref="A20:H20"/>
    <mergeCell ref="E5:G5"/>
  </mergeCells>
  <pageMargins left="0.9375" right="0.25" top="0.75" bottom="0.75" header="0.3" footer="0.3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80" zoomScaleNormal="70" zoomScaleSheetLayoutView="80" zoomScalePageLayoutView="50" workbookViewId="0">
      <selection activeCell="A17" sqref="A17"/>
    </sheetView>
  </sheetViews>
  <sheetFormatPr defaultRowHeight="23.25" x14ac:dyDescent="0.5"/>
  <cols>
    <col min="1" max="1" width="10.875" style="1" customWidth="1"/>
    <col min="2" max="2" width="18" style="1" customWidth="1"/>
    <col min="3" max="3" width="10.125" style="1" customWidth="1"/>
    <col min="4" max="4" width="13.375" style="7" bestFit="1" customWidth="1"/>
    <col min="5" max="5" width="11" style="7" customWidth="1"/>
    <col min="6" max="6" width="12" style="7" customWidth="1"/>
    <col min="7" max="7" width="10.75" style="7" bestFit="1" customWidth="1"/>
    <col min="8" max="9" width="12.125" style="7" customWidth="1"/>
    <col min="10" max="10" width="10.875" style="7" customWidth="1"/>
    <col min="11" max="11" width="10.625" style="7" bestFit="1" customWidth="1"/>
    <col min="12" max="12" width="10.75" style="7" bestFit="1" customWidth="1"/>
    <col min="13" max="13" width="12.5" style="7" customWidth="1"/>
    <col min="14" max="14" width="13.375" style="7" customWidth="1"/>
    <col min="15" max="15" width="13.625" style="7" customWidth="1"/>
    <col min="16" max="16384" width="9" style="1"/>
  </cols>
  <sheetData>
    <row r="1" spans="1:15" x14ac:dyDescent="0.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x14ac:dyDescent="0.5">
      <c r="A2" s="118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x14ac:dyDescent="0.5">
      <c r="A3" s="118" t="s">
        <v>179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x14ac:dyDescent="0.5">
      <c r="A4" s="109" t="s">
        <v>13</v>
      </c>
      <c r="B4" s="109" t="s">
        <v>4</v>
      </c>
      <c r="C4" s="109" t="s">
        <v>2</v>
      </c>
      <c r="D4" s="25" t="s">
        <v>64</v>
      </c>
      <c r="E4" s="25" t="s">
        <v>66</v>
      </c>
      <c r="F4" s="109" t="s">
        <v>8</v>
      </c>
      <c r="G4" s="109" t="s">
        <v>99</v>
      </c>
      <c r="H4" s="25" t="s">
        <v>136</v>
      </c>
      <c r="I4" s="25"/>
      <c r="J4" s="25" t="s">
        <v>73</v>
      </c>
      <c r="K4" s="25" t="s">
        <v>76</v>
      </c>
      <c r="L4" s="109" t="s">
        <v>80</v>
      </c>
      <c r="M4" s="109" t="s">
        <v>81</v>
      </c>
      <c r="N4" s="109" t="s">
        <v>10</v>
      </c>
      <c r="O4" s="109" t="s">
        <v>1</v>
      </c>
    </row>
    <row r="5" spans="1:15" x14ac:dyDescent="0.5">
      <c r="A5" s="122"/>
      <c r="B5" s="122"/>
      <c r="C5" s="122"/>
      <c r="D5" s="28" t="s">
        <v>3</v>
      </c>
      <c r="E5" s="28" t="s">
        <v>67</v>
      </c>
      <c r="F5" s="122"/>
      <c r="G5" s="122"/>
      <c r="H5" s="28" t="s">
        <v>79</v>
      </c>
      <c r="I5" s="28"/>
      <c r="J5" s="28" t="s">
        <v>67</v>
      </c>
      <c r="K5" s="28" t="s">
        <v>77</v>
      </c>
      <c r="L5" s="122"/>
      <c r="M5" s="122"/>
      <c r="N5" s="122"/>
      <c r="O5" s="122"/>
    </row>
    <row r="6" spans="1:15" x14ac:dyDescent="0.5">
      <c r="A6" s="122"/>
      <c r="B6" s="122"/>
      <c r="C6" s="122"/>
      <c r="D6" s="28" t="s">
        <v>65</v>
      </c>
      <c r="E6" s="28" t="s">
        <v>68</v>
      </c>
      <c r="F6" s="122"/>
      <c r="G6" s="122"/>
      <c r="H6" s="28" t="s">
        <v>135</v>
      </c>
      <c r="I6" s="28" t="s">
        <v>71</v>
      </c>
      <c r="J6" s="28" t="s">
        <v>74</v>
      </c>
      <c r="K6" s="28" t="s">
        <v>78</v>
      </c>
      <c r="L6" s="122"/>
      <c r="M6" s="122"/>
      <c r="N6" s="122"/>
      <c r="O6" s="122"/>
    </row>
    <row r="7" spans="1:15" x14ac:dyDescent="0.5">
      <c r="A7" s="122"/>
      <c r="B7" s="122"/>
      <c r="C7" s="122"/>
      <c r="D7" s="28"/>
      <c r="E7" s="28"/>
      <c r="F7" s="122"/>
      <c r="G7" s="122"/>
      <c r="H7" s="28"/>
      <c r="I7" s="28" t="s">
        <v>72</v>
      </c>
      <c r="J7" s="28" t="s">
        <v>75</v>
      </c>
      <c r="K7" s="28" t="s">
        <v>79</v>
      </c>
      <c r="L7" s="122"/>
      <c r="M7" s="122"/>
      <c r="N7" s="122"/>
      <c r="O7" s="122"/>
    </row>
    <row r="8" spans="1:15" x14ac:dyDescent="0.5">
      <c r="A8" s="111"/>
      <c r="B8" s="111"/>
      <c r="C8" s="111"/>
      <c r="D8" s="26"/>
      <c r="E8" s="26"/>
      <c r="F8" s="111"/>
      <c r="G8" s="111"/>
      <c r="H8" s="26"/>
      <c r="I8" s="26"/>
      <c r="J8" s="26"/>
      <c r="K8" s="26" t="s">
        <v>53</v>
      </c>
      <c r="L8" s="111"/>
      <c r="M8" s="111"/>
      <c r="N8" s="111"/>
      <c r="O8" s="111"/>
    </row>
    <row r="9" spans="1:15" x14ac:dyDescent="0.5">
      <c r="A9" s="33" t="s">
        <v>83</v>
      </c>
      <c r="B9" s="30"/>
      <c r="C9" s="30"/>
      <c r="D9" s="28"/>
      <c r="E9" s="28"/>
      <c r="F9" s="30"/>
      <c r="G9" s="30"/>
      <c r="H9" s="28"/>
      <c r="I9" s="28"/>
      <c r="J9" s="28"/>
      <c r="K9" s="28"/>
      <c r="L9" s="30"/>
      <c r="M9" s="30"/>
      <c r="N9" s="30"/>
      <c r="O9" s="30"/>
    </row>
    <row r="10" spans="1:15" x14ac:dyDescent="0.5">
      <c r="A10" s="27" t="s">
        <v>20</v>
      </c>
      <c r="B10" s="27" t="s">
        <v>22</v>
      </c>
      <c r="C10" s="3" t="s">
        <v>15</v>
      </c>
      <c r="D10" s="4">
        <v>2417774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SUM(D10:N10)</f>
        <v>2417774</v>
      </c>
    </row>
    <row r="11" spans="1:15" x14ac:dyDescent="0.5">
      <c r="A11" s="3"/>
      <c r="B11" s="27" t="s">
        <v>21</v>
      </c>
      <c r="C11" s="3" t="s">
        <v>15</v>
      </c>
      <c r="D11" s="4">
        <v>5788380</v>
      </c>
      <c r="E11" s="4">
        <v>0</v>
      </c>
      <c r="F11" s="4">
        <v>493155</v>
      </c>
      <c r="G11" s="4">
        <v>0</v>
      </c>
      <c r="H11" s="4">
        <v>0</v>
      </c>
      <c r="I11" s="4">
        <v>1158375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SUM(D11:N11)</f>
        <v>7439910</v>
      </c>
    </row>
    <row r="12" spans="1:15" x14ac:dyDescent="0.5">
      <c r="A12" s="3" t="s">
        <v>23</v>
      </c>
      <c r="B12" s="27" t="s">
        <v>11</v>
      </c>
      <c r="C12" s="3" t="s">
        <v>15</v>
      </c>
      <c r="D12" s="4">
        <v>336263</v>
      </c>
      <c r="E12" s="4">
        <v>93600</v>
      </c>
      <c r="F12" s="4">
        <v>12500</v>
      </c>
      <c r="G12" s="4">
        <v>0</v>
      </c>
      <c r="H12" s="4">
        <v>0</v>
      </c>
      <c r="I12" s="4">
        <v>80986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 t="shared" ref="O12:O20" si="0">SUM(D12:N12)</f>
        <v>523349</v>
      </c>
    </row>
    <row r="13" spans="1:15" x14ac:dyDescent="0.5">
      <c r="A13" s="3"/>
      <c r="B13" s="27" t="s">
        <v>6</v>
      </c>
      <c r="C13" s="3" t="s">
        <v>15</v>
      </c>
      <c r="D13" s="4">
        <v>1014983.01</v>
      </c>
      <c r="E13" s="4">
        <v>7000</v>
      </c>
      <c r="F13" s="4">
        <v>505042</v>
      </c>
      <c r="G13" s="4">
        <v>7820</v>
      </c>
      <c r="H13" s="4">
        <v>0</v>
      </c>
      <c r="I13" s="4">
        <v>646289.25</v>
      </c>
      <c r="J13" s="4">
        <v>13910</v>
      </c>
      <c r="K13" s="4">
        <v>559675</v>
      </c>
      <c r="L13" s="4">
        <v>12672</v>
      </c>
      <c r="M13" s="4">
        <v>0</v>
      </c>
      <c r="N13" s="4">
        <v>0</v>
      </c>
      <c r="O13" s="4">
        <f t="shared" si="0"/>
        <v>2767391.26</v>
      </c>
    </row>
    <row r="14" spans="1:15" x14ac:dyDescent="0.5">
      <c r="A14" s="3"/>
      <c r="B14" s="27" t="s">
        <v>9</v>
      </c>
      <c r="C14" s="3" t="s">
        <v>15</v>
      </c>
      <c r="D14" s="4">
        <v>430386.88</v>
      </c>
      <c r="E14" s="4">
        <v>2181.5</v>
      </c>
      <c r="F14" s="4">
        <v>527085</v>
      </c>
      <c r="G14" s="4">
        <v>59700</v>
      </c>
      <c r="H14" s="4">
        <v>0</v>
      </c>
      <c r="I14" s="4">
        <v>264667.31</v>
      </c>
      <c r="J14" s="4">
        <v>0</v>
      </c>
      <c r="K14" s="4">
        <v>99605</v>
      </c>
      <c r="L14" s="4">
        <v>0</v>
      </c>
      <c r="M14" s="4">
        <v>35890</v>
      </c>
      <c r="N14" s="4">
        <v>0</v>
      </c>
      <c r="O14" s="4">
        <f t="shared" si="0"/>
        <v>1419515.69</v>
      </c>
    </row>
    <row r="15" spans="1:15" x14ac:dyDescent="0.5">
      <c r="A15" s="3"/>
      <c r="B15" s="27" t="s">
        <v>24</v>
      </c>
      <c r="C15" s="3" t="s">
        <v>15</v>
      </c>
      <c r="D15" s="4">
        <v>382082.23</v>
      </c>
      <c r="E15" s="4">
        <v>0</v>
      </c>
      <c r="F15" s="4">
        <v>12455.21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1561208.7</v>
      </c>
      <c r="N15" s="4">
        <v>0</v>
      </c>
      <c r="O15" s="4">
        <f t="shared" si="0"/>
        <v>1955746.14</v>
      </c>
    </row>
    <row r="16" spans="1:15" x14ac:dyDescent="0.5">
      <c r="A16" s="3" t="s">
        <v>25</v>
      </c>
      <c r="B16" s="27" t="s">
        <v>26</v>
      </c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 t="shared" si="0"/>
        <v>0</v>
      </c>
    </row>
    <row r="17" spans="1:15" x14ac:dyDescent="0.5">
      <c r="A17" s="3"/>
      <c r="B17" s="27" t="s">
        <v>27</v>
      </c>
      <c r="C17" s="3" t="s">
        <v>15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5299000</v>
      </c>
      <c r="J17" s="4">
        <v>0</v>
      </c>
      <c r="K17" s="4">
        <v>0</v>
      </c>
      <c r="L17" s="4">
        <v>497000</v>
      </c>
      <c r="M17" s="4">
        <v>0</v>
      </c>
      <c r="N17" s="4">
        <v>0</v>
      </c>
      <c r="O17" s="4">
        <f t="shared" si="0"/>
        <v>5796000</v>
      </c>
    </row>
    <row r="18" spans="1:15" x14ac:dyDescent="0.5">
      <c r="A18" s="3" t="s">
        <v>28</v>
      </c>
      <c r="B18" s="27" t="s">
        <v>7</v>
      </c>
      <c r="C18" s="3" t="s">
        <v>15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f t="shared" si="0"/>
        <v>0</v>
      </c>
    </row>
    <row r="19" spans="1:15" x14ac:dyDescent="0.5">
      <c r="A19" s="3" t="s">
        <v>29</v>
      </c>
      <c r="B19" s="27" t="s">
        <v>30</v>
      </c>
      <c r="C19" s="3" t="s">
        <v>15</v>
      </c>
      <c r="D19" s="4">
        <v>59750</v>
      </c>
      <c r="E19" s="4">
        <v>0</v>
      </c>
      <c r="F19" s="4">
        <v>1533000</v>
      </c>
      <c r="G19" s="4">
        <v>0</v>
      </c>
      <c r="H19" s="4">
        <v>0</v>
      </c>
      <c r="I19" s="4">
        <v>0</v>
      </c>
      <c r="J19" s="4">
        <v>0</v>
      </c>
      <c r="K19" s="4">
        <v>83247.5</v>
      </c>
      <c r="L19" s="4">
        <v>0</v>
      </c>
      <c r="M19" s="4">
        <v>0</v>
      </c>
      <c r="N19" s="4">
        <v>0</v>
      </c>
      <c r="O19" s="4">
        <f t="shared" si="0"/>
        <v>1675997.5</v>
      </c>
    </row>
    <row r="20" spans="1:15" x14ac:dyDescent="0.5">
      <c r="A20" s="16" t="s">
        <v>10</v>
      </c>
      <c r="B20" s="16" t="s">
        <v>10</v>
      </c>
      <c r="C20" s="16" t="s">
        <v>15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16020680.5</v>
      </c>
      <c r="O20" s="4">
        <f t="shared" si="0"/>
        <v>16020680.5</v>
      </c>
    </row>
    <row r="21" spans="1:15" ht="24" thickBot="1" x14ac:dyDescent="0.55000000000000004">
      <c r="A21" s="119" t="s">
        <v>1</v>
      </c>
      <c r="B21" s="120"/>
      <c r="C21" s="121"/>
      <c r="D21" s="29">
        <f>SUM(D10:D20)</f>
        <v>10429619.120000001</v>
      </c>
      <c r="E21" s="29">
        <f t="shared" ref="E21:N21" si="1">SUM(E10:E20)</f>
        <v>102781.5</v>
      </c>
      <c r="F21" s="29">
        <f t="shared" si="1"/>
        <v>3083237.21</v>
      </c>
      <c r="G21" s="29">
        <f t="shared" si="1"/>
        <v>67520</v>
      </c>
      <c r="H21" s="29">
        <f t="shared" si="1"/>
        <v>0</v>
      </c>
      <c r="I21" s="29">
        <f t="shared" si="1"/>
        <v>7449317.5600000005</v>
      </c>
      <c r="J21" s="29">
        <f t="shared" si="1"/>
        <v>13910</v>
      </c>
      <c r="K21" s="29">
        <f t="shared" si="1"/>
        <v>742527.5</v>
      </c>
      <c r="L21" s="29">
        <f t="shared" si="1"/>
        <v>509672</v>
      </c>
      <c r="M21" s="29">
        <f t="shared" si="1"/>
        <v>1597098.7</v>
      </c>
      <c r="N21" s="29">
        <f t="shared" si="1"/>
        <v>16020680.5</v>
      </c>
      <c r="O21" s="29">
        <f>SUM(O10:O20)</f>
        <v>40016364.090000004</v>
      </c>
    </row>
    <row r="22" spans="1:15" ht="24" thickTop="1" x14ac:dyDescent="0.5"/>
    <row r="24" spans="1:15" ht="24.75" x14ac:dyDescent="0.5">
      <c r="A24" s="116" t="s">
        <v>137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 ht="24.75" x14ac:dyDescent="0.5">
      <c r="A25" s="116" t="s">
        <v>110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24.75" x14ac:dyDescent="0.5">
      <c r="A26" s="116" t="s">
        <v>111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</sheetData>
  <mergeCells count="16">
    <mergeCell ref="A26:O26"/>
    <mergeCell ref="A1:O1"/>
    <mergeCell ref="A2:O2"/>
    <mergeCell ref="A3:O3"/>
    <mergeCell ref="A21:C21"/>
    <mergeCell ref="A4:A8"/>
    <mergeCell ref="B4:B8"/>
    <mergeCell ref="C4:C8"/>
    <mergeCell ref="F4:F8"/>
    <mergeCell ref="G4:G8"/>
    <mergeCell ref="A25:O25"/>
    <mergeCell ref="L4:L8"/>
    <mergeCell ref="M4:M8"/>
    <mergeCell ref="N4:N8"/>
    <mergeCell ref="O4:O8"/>
    <mergeCell ref="A24:O24"/>
  </mergeCells>
  <pageMargins left="0.25" right="0.25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topLeftCell="E1" zoomScale="40" zoomScaleNormal="30" zoomScaleSheetLayoutView="40" zoomScalePageLayoutView="30" workbookViewId="0">
      <selection activeCell="Y29" sqref="Y29"/>
    </sheetView>
  </sheetViews>
  <sheetFormatPr defaultRowHeight="23.25" x14ac:dyDescent="0.5"/>
  <cols>
    <col min="1" max="1" width="35.25" style="1" customWidth="1"/>
    <col min="2" max="2" width="13.375" style="1" customWidth="1"/>
    <col min="3" max="3" width="16.25" style="1" customWidth="1"/>
    <col min="4" max="4" width="14.375" style="1" customWidth="1"/>
    <col min="5" max="5" width="11.875" style="1" customWidth="1"/>
    <col min="6" max="6" width="13.5" style="1" customWidth="1"/>
    <col min="7" max="7" width="14.75" style="1" customWidth="1"/>
    <col min="8" max="8" width="13.375" style="7" bestFit="1" customWidth="1"/>
    <col min="9" max="9" width="14.375" style="7" customWidth="1"/>
    <col min="10" max="10" width="13.625" style="7" customWidth="1"/>
    <col min="11" max="11" width="12.875" style="7" customWidth="1"/>
    <col min="12" max="13" width="12.125" style="7" customWidth="1"/>
    <col min="14" max="14" width="13.375" style="7" customWidth="1"/>
    <col min="15" max="15" width="12.25" style="7" customWidth="1"/>
    <col min="16" max="16" width="13.25" style="7" customWidth="1"/>
    <col min="17" max="17" width="13.625" style="7" customWidth="1"/>
    <col min="18" max="18" width="13.375" style="7" customWidth="1"/>
    <col min="19" max="16384" width="9" style="1"/>
  </cols>
  <sheetData>
    <row r="1" spans="1:18" ht="29.25" x14ac:dyDescent="0.6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9.25" x14ac:dyDescent="0.6">
      <c r="A2" s="123" t="s">
        <v>169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29.25" x14ac:dyDescent="0.6">
      <c r="A3" s="123" t="s">
        <v>184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x14ac:dyDescent="0.5">
      <c r="A4" s="109" t="s">
        <v>148</v>
      </c>
      <c r="B4" s="109" t="s">
        <v>14</v>
      </c>
      <c r="C4" s="78" t="s">
        <v>1</v>
      </c>
      <c r="D4" s="78" t="s">
        <v>1</v>
      </c>
      <c r="E4" s="78" t="s">
        <v>1</v>
      </c>
      <c r="F4" s="78" t="s">
        <v>1</v>
      </c>
      <c r="G4" s="109" t="s">
        <v>1</v>
      </c>
      <c r="H4" s="25" t="s">
        <v>64</v>
      </c>
      <c r="I4" s="25" t="s">
        <v>66</v>
      </c>
      <c r="J4" s="109" t="s">
        <v>8</v>
      </c>
      <c r="K4" s="109" t="s">
        <v>99</v>
      </c>
      <c r="L4" s="25" t="s">
        <v>136</v>
      </c>
      <c r="M4" s="25"/>
      <c r="N4" s="25" t="s">
        <v>73</v>
      </c>
      <c r="O4" s="25" t="s">
        <v>76</v>
      </c>
      <c r="P4" s="109" t="s">
        <v>80</v>
      </c>
      <c r="Q4" s="109" t="s">
        <v>81</v>
      </c>
      <c r="R4" s="109" t="s">
        <v>10</v>
      </c>
    </row>
    <row r="5" spans="1:18" x14ac:dyDescent="0.5">
      <c r="A5" s="122"/>
      <c r="B5" s="122"/>
      <c r="C5" s="80" t="s">
        <v>150</v>
      </c>
      <c r="D5" s="80" t="s">
        <v>150</v>
      </c>
      <c r="E5" s="80" t="s">
        <v>150</v>
      </c>
      <c r="F5" s="80" t="s">
        <v>150</v>
      </c>
      <c r="G5" s="122"/>
      <c r="H5" s="28" t="s">
        <v>3</v>
      </c>
      <c r="I5" s="28" t="s">
        <v>67</v>
      </c>
      <c r="J5" s="122"/>
      <c r="K5" s="122"/>
      <c r="L5" s="28" t="s">
        <v>79</v>
      </c>
      <c r="M5" s="28"/>
      <c r="N5" s="28" t="s">
        <v>67</v>
      </c>
      <c r="O5" s="28" t="s">
        <v>77</v>
      </c>
      <c r="P5" s="122"/>
      <c r="Q5" s="122"/>
      <c r="R5" s="122"/>
    </row>
    <row r="6" spans="1:18" x14ac:dyDescent="0.5">
      <c r="A6" s="122"/>
      <c r="B6" s="122"/>
      <c r="C6" s="80" t="s">
        <v>151</v>
      </c>
      <c r="D6" s="80" t="s">
        <v>30</v>
      </c>
      <c r="E6" s="80" t="s">
        <v>84</v>
      </c>
      <c r="F6" s="80" t="s">
        <v>153</v>
      </c>
      <c r="G6" s="122"/>
      <c r="H6" s="28" t="s">
        <v>65</v>
      </c>
      <c r="I6" s="28" t="s">
        <v>68</v>
      </c>
      <c r="J6" s="122"/>
      <c r="K6" s="122"/>
      <c r="L6" s="28" t="s">
        <v>135</v>
      </c>
      <c r="M6" s="28" t="s">
        <v>71</v>
      </c>
      <c r="N6" s="28" t="s">
        <v>74</v>
      </c>
      <c r="O6" s="28" t="s">
        <v>78</v>
      </c>
      <c r="P6" s="122"/>
      <c r="Q6" s="122"/>
      <c r="R6" s="122"/>
    </row>
    <row r="7" spans="1:18" x14ac:dyDescent="0.5">
      <c r="A7" s="122"/>
      <c r="B7" s="122"/>
      <c r="C7" s="80" t="s">
        <v>149</v>
      </c>
      <c r="D7" s="80" t="s">
        <v>155</v>
      </c>
      <c r="E7" s="80"/>
      <c r="F7" s="80" t="s">
        <v>154</v>
      </c>
      <c r="G7" s="122"/>
      <c r="H7" s="28"/>
      <c r="I7" s="28"/>
      <c r="J7" s="122"/>
      <c r="K7" s="122"/>
      <c r="L7" s="28"/>
      <c r="M7" s="28" t="s">
        <v>72</v>
      </c>
      <c r="N7" s="28" t="s">
        <v>75</v>
      </c>
      <c r="O7" s="28" t="s">
        <v>79</v>
      </c>
      <c r="P7" s="122"/>
      <c r="Q7" s="122"/>
      <c r="R7" s="122"/>
    </row>
    <row r="8" spans="1:18" x14ac:dyDescent="0.5">
      <c r="A8" s="111"/>
      <c r="B8" s="111"/>
      <c r="C8" s="79"/>
      <c r="D8" s="79" t="s">
        <v>152</v>
      </c>
      <c r="E8" s="79"/>
      <c r="F8" s="79" t="s">
        <v>124</v>
      </c>
      <c r="G8" s="111"/>
      <c r="H8" s="26"/>
      <c r="I8" s="26"/>
      <c r="J8" s="111"/>
      <c r="K8" s="111"/>
      <c r="L8" s="26"/>
      <c r="M8" s="26"/>
      <c r="N8" s="26"/>
      <c r="O8" s="26" t="s">
        <v>53</v>
      </c>
      <c r="P8" s="111"/>
      <c r="Q8" s="111"/>
      <c r="R8" s="111"/>
    </row>
    <row r="9" spans="1:18" x14ac:dyDescent="0.5">
      <c r="A9" s="83" t="s">
        <v>83</v>
      </c>
      <c r="B9" s="80"/>
      <c r="C9" s="80"/>
      <c r="D9" s="80"/>
      <c r="E9" s="80"/>
      <c r="F9" s="80"/>
      <c r="G9" s="80"/>
      <c r="H9" s="28"/>
      <c r="I9" s="28"/>
      <c r="J9" s="80"/>
      <c r="K9" s="80"/>
      <c r="L9" s="28"/>
      <c r="M9" s="28"/>
      <c r="N9" s="28"/>
      <c r="O9" s="28"/>
      <c r="P9" s="80"/>
      <c r="Q9" s="80"/>
      <c r="R9" s="80"/>
    </row>
    <row r="10" spans="1:18" x14ac:dyDescent="0.5">
      <c r="A10" s="27" t="s">
        <v>22</v>
      </c>
      <c r="B10" s="4">
        <v>3594000</v>
      </c>
      <c r="C10" s="4">
        <v>2417774</v>
      </c>
      <c r="D10" s="4">
        <v>0</v>
      </c>
      <c r="E10" s="4">
        <v>0</v>
      </c>
      <c r="F10" s="4">
        <v>0</v>
      </c>
      <c r="G10" s="4">
        <f>SUM(C10:F10)</f>
        <v>2417774</v>
      </c>
      <c r="H10" s="4">
        <v>2417774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</row>
    <row r="11" spans="1:18" x14ac:dyDescent="0.5">
      <c r="A11" s="27" t="s">
        <v>21</v>
      </c>
      <c r="B11" s="4">
        <f>7799850+200000+3330000</f>
        <v>11329850</v>
      </c>
      <c r="C11" s="4">
        <v>7439910</v>
      </c>
      <c r="D11" s="4">
        <v>0</v>
      </c>
      <c r="E11" s="4">
        <v>0</v>
      </c>
      <c r="F11" s="4">
        <v>0</v>
      </c>
      <c r="G11" s="4">
        <f t="shared" ref="G11:G20" si="0">SUM(C11:F11)</f>
        <v>7439910</v>
      </c>
      <c r="H11" s="4">
        <v>5788380</v>
      </c>
      <c r="I11" s="4">
        <v>0</v>
      </c>
      <c r="J11" s="4">
        <v>493155</v>
      </c>
      <c r="K11" s="4">
        <v>0</v>
      </c>
      <c r="L11" s="4">
        <v>0</v>
      </c>
      <c r="M11" s="4">
        <v>1158375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x14ac:dyDescent="0.5">
      <c r="A12" s="27" t="s">
        <v>11</v>
      </c>
      <c r="B12" s="4">
        <v>1900000</v>
      </c>
      <c r="C12" s="4">
        <v>523349</v>
      </c>
      <c r="D12" s="4">
        <v>0</v>
      </c>
      <c r="E12" s="4">
        <v>0</v>
      </c>
      <c r="F12" s="4">
        <v>0</v>
      </c>
      <c r="G12" s="4">
        <f t="shared" si="0"/>
        <v>523349</v>
      </c>
      <c r="H12" s="4">
        <v>336263</v>
      </c>
      <c r="I12" s="4">
        <v>93600</v>
      </c>
      <c r="J12" s="4">
        <v>12500</v>
      </c>
      <c r="K12" s="4">
        <v>0</v>
      </c>
      <c r="L12" s="4">
        <v>0</v>
      </c>
      <c r="M12" s="4">
        <v>80986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</row>
    <row r="13" spans="1:18" x14ac:dyDescent="0.5">
      <c r="A13" s="27" t="s">
        <v>6</v>
      </c>
      <c r="B13" s="4">
        <v>6488600</v>
      </c>
      <c r="C13" s="4">
        <v>2767391.26</v>
      </c>
      <c r="D13" s="4">
        <v>0</v>
      </c>
      <c r="E13" s="4">
        <v>0</v>
      </c>
      <c r="F13" s="4">
        <v>0</v>
      </c>
      <c r="G13" s="4">
        <f t="shared" si="0"/>
        <v>2767391.26</v>
      </c>
      <c r="H13" s="4">
        <v>1014983.01</v>
      </c>
      <c r="I13" s="4">
        <v>7000</v>
      </c>
      <c r="J13" s="4">
        <v>505042</v>
      </c>
      <c r="K13" s="4">
        <v>7820</v>
      </c>
      <c r="L13" s="4">
        <v>0</v>
      </c>
      <c r="M13" s="4">
        <v>646289.25</v>
      </c>
      <c r="N13" s="4">
        <v>13910</v>
      </c>
      <c r="O13" s="4">
        <v>559675</v>
      </c>
      <c r="P13" s="4">
        <v>12672</v>
      </c>
      <c r="Q13" s="4">
        <v>0</v>
      </c>
      <c r="R13" s="4">
        <v>0</v>
      </c>
    </row>
    <row r="14" spans="1:18" x14ac:dyDescent="0.5">
      <c r="A14" s="27" t="s">
        <v>9</v>
      </c>
      <c r="B14" s="4">
        <v>3333600</v>
      </c>
      <c r="C14" s="4">
        <v>1419515.69</v>
      </c>
      <c r="D14" s="4">
        <v>0</v>
      </c>
      <c r="E14" s="4">
        <v>0</v>
      </c>
      <c r="F14" s="4">
        <v>0</v>
      </c>
      <c r="G14" s="4">
        <f t="shared" si="0"/>
        <v>1419515.69</v>
      </c>
      <c r="H14" s="4">
        <v>430386.88</v>
      </c>
      <c r="I14" s="4">
        <v>2181.5</v>
      </c>
      <c r="J14" s="4">
        <v>527085</v>
      </c>
      <c r="K14" s="4">
        <v>59700</v>
      </c>
      <c r="L14" s="4">
        <v>0</v>
      </c>
      <c r="M14" s="4">
        <v>264667.31</v>
      </c>
      <c r="N14" s="4">
        <v>0</v>
      </c>
      <c r="O14" s="4">
        <v>99605</v>
      </c>
      <c r="P14" s="4">
        <v>0</v>
      </c>
      <c r="Q14" s="4">
        <v>35890</v>
      </c>
      <c r="R14" s="4">
        <v>0</v>
      </c>
    </row>
    <row r="15" spans="1:18" x14ac:dyDescent="0.5">
      <c r="A15" s="27" t="s">
        <v>24</v>
      </c>
      <c r="B15" s="4">
        <v>2490000</v>
      </c>
      <c r="C15" s="4">
        <v>1955746.14</v>
      </c>
      <c r="D15" s="4">
        <v>0</v>
      </c>
      <c r="E15" s="4">
        <v>0</v>
      </c>
      <c r="F15" s="4">
        <v>0</v>
      </c>
      <c r="G15" s="4">
        <f t="shared" si="0"/>
        <v>1955746.14</v>
      </c>
      <c r="H15" s="4">
        <v>382082.23</v>
      </c>
      <c r="I15" s="4">
        <v>0</v>
      </c>
      <c r="J15" s="4">
        <v>12455.21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1561208.7</v>
      </c>
      <c r="R15" s="4">
        <v>0</v>
      </c>
    </row>
    <row r="16" spans="1:18" ht="26.25" x14ac:dyDescent="0.55000000000000004">
      <c r="A16" s="27" t="s">
        <v>26</v>
      </c>
      <c r="B16" s="4">
        <v>3658000</v>
      </c>
      <c r="C16" s="4">
        <v>0</v>
      </c>
      <c r="D16" s="4">
        <v>30500</v>
      </c>
      <c r="E16" s="4">
        <v>0</v>
      </c>
      <c r="F16" s="4">
        <v>0</v>
      </c>
      <c r="G16" s="4">
        <f t="shared" si="0"/>
        <v>30500</v>
      </c>
      <c r="H16" s="4">
        <v>0</v>
      </c>
      <c r="I16" s="4">
        <v>0</v>
      </c>
      <c r="J16" s="136">
        <v>30500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x14ac:dyDescent="0.5">
      <c r="A17" s="27" t="s">
        <v>27</v>
      </c>
      <c r="B17" s="4">
        <v>6358000</v>
      </c>
      <c r="C17" s="4">
        <v>5796000</v>
      </c>
      <c r="D17" s="4">
        <v>0</v>
      </c>
      <c r="E17" s="4">
        <v>0</v>
      </c>
      <c r="F17" s="4">
        <v>0</v>
      </c>
      <c r="G17" s="4">
        <f t="shared" si="0"/>
        <v>5796000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5299000</v>
      </c>
      <c r="N17" s="4">
        <v>0</v>
      </c>
      <c r="O17" s="4">
        <v>0</v>
      </c>
      <c r="P17" s="4">
        <v>497000</v>
      </c>
      <c r="Q17" s="4">
        <v>0</v>
      </c>
      <c r="R17" s="4">
        <v>0</v>
      </c>
    </row>
    <row r="18" spans="1:18" x14ac:dyDescent="0.5">
      <c r="A18" s="27" t="s">
        <v>7</v>
      </c>
      <c r="B18" s="4">
        <v>225000</v>
      </c>
      <c r="C18" s="4">
        <v>0</v>
      </c>
      <c r="D18" s="4">
        <v>0</v>
      </c>
      <c r="E18" s="4">
        <v>0</v>
      </c>
      <c r="F18" s="4">
        <v>0</v>
      </c>
      <c r="G18" s="4">
        <f t="shared" si="0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</row>
    <row r="19" spans="1:18" x14ac:dyDescent="0.5">
      <c r="A19" s="27" t="s">
        <v>30</v>
      </c>
      <c r="B19" s="4">
        <v>2281950</v>
      </c>
      <c r="C19" s="4">
        <v>1675997.5</v>
      </c>
      <c r="D19" s="4">
        <v>0</v>
      </c>
      <c r="E19" s="4">
        <v>0</v>
      </c>
      <c r="F19" s="4">
        <v>0</v>
      </c>
      <c r="G19" s="4">
        <f t="shared" si="0"/>
        <v>1675997.5</v>
      </c>
      <c r="H19" s="4">
        <v>59750</v>
      </c>
      <c r="I19" s="4">
        <v>0</v>
      </c>
      <c r="J19" s="4">
        <v>1533000</v>
      </c>
      <c r="K19" s="4">
        <v>0</v>
      </c>
      <c r="L19" s="4">
        <v>0</v>
      </c>
      <c r="M19" s="4">
        <v>0</v>
      </c>
      <c r="N19" s="4">
        <v>0</v>
      </c>
      <c r="O19" s="4">
        <v>83247.5</v>
      </c>
      <c r="P19" s="4">
        <v>0</v>
      </c>
      <c r="Q19" s="4">
        <v>0</v>
      </c>
      <c r="R19" s="4">
        <v>0</v>
      </c>
    </row>
    <row r="20" spans="1:18" x14ac:dyDescent="0.5">
      <c r="A20" s="16" t="s">
        <v>10</v>
      </c>
      <c r="B20" s="17">
        <v>21341000</v>
      </c>
      <c r="C20" s="17">
        <v>16020680.5</v>
      </c>
      <c r="D20" s="17">
        <v>0</v>
      </c>
      <c r="E20" s="17">
        <v>1809367</v>
      </c>
      <c r="F20" s="17">
        <v>0</v>
      </c>
      <c r="G20" s="4">
        <f t="shared" si="0"/>
        <v>17830047.5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16020680.5</v>
      </c>
    </row>
    <row r="21" spans="1:18" ht="24" thickBot="1" x14ac:dyDescent="0.55000000000000004">
      <c r="A21" s="85" t="s">
        <v>156</v>
      </c>
      <c r="B21" s="92">
        <f t="shared" ref="B21:H21" si="1">SUM(B10:B20)</f>
        <v>63000000</v>
      </c>
      <c r="C21" s="86">
        <f t="shared" si="1"/>
        <v>40016364.090000004</v>
      </c>
      <c r="D21" s="86">
        <f t="shared" si="1"/>
        <v>30500</v>
      </c>
      <c r="E21" s="86">
        <f t="shared" si="1"/>
        <v>1809367</v>
      </c>
      <c r="F21" s="86">
        <f t="shared" si="1"/>
        <v>0</v>
      </c>
      <c r="G21" s="87">
        <f t="shared" si="1"/>
        <v>41856231.090000004</v>
      </c>
      <c r="H21" s="88">
        <f t="shared" si="1"/>
        <v>10429619.120000001</v>
      </c>
      <c r="I21" s="88">
        <f t="shared" ref="I21:R21" si="2">SUM(I10:I20)</f>
        <v>102781.5</v>
      </c>
      <c r="J21" s="88">
        <f t="shared" si="2"/>
        <v>3113737.21</v>
      </c>
      <c r="K21" s="88">
        <f t="shared" si="2"/>
        <v>67520</v>
      </c>
      <c r="L21" s="88">
        <f t="shared" si="2"/>
        <v>0</v>
      </c>
      <c r="M21" s="88">
        <f t="shared" si="2"/>
        <v>7449317.5600000005</v>
      </c>
      <c r="N21" s="88">
        <f t="shared" si="2"/>
        <v>13910</v>
      </c>
      <c r="O21" s="88">
        <f t="shared" si="2"/>
        <v>742527.5</v>
      </c>
      <c r="P21" s="88">
        <f t="shared" si="2"/>
        <v>509672</v>
      </c>
      <c r="Q21" s="88">
        <f t="shared" si="2"/>
        <v>1597098.7</v>
      </c>
      <c r="R21" s="88">
        <f t="shared" si="2"/>
        <v>16020680.5</v>
      </c>
    </row>
    <row r="22" spans="1:18" ht="24" thickTop="1" x14ac:dyDescent="0.5">
      <c r="A22" s="84" t="s">
        <v>87</v>
      </c>
      <c r="B22" s="82"/>
      <c r="C22" s="82"/>
      <c r="D22" s="82"/>
      <c r="E22" s="82"/>
      <c r="F22" s="82"/>
      <c r="G22" s="8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5">
      <c r="A23" s="27" t="s">
        <v>157</v>
      </c>
      <c r="B23" s="90">
        <v>470000</v>
      </c>
      <c r="C23" s="90">
        <v>388933</v>
      </c>
      <c r="D23" s="90">
        <v>0</v>
      </c>
      <c r="E23" s="90">
        <v>0</v>
      </c>
      <c r="F23" s="90">
        <v>0</v>
      </c>
      <c r="G23" s="94">
        <f>SUM(C23:F23)</f>
        <v>388933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5">
      <c r="A24" s="27" t="s">
        <v>158</v>
      </c>
      <c r="B24" s="90">
        <v>919500</v>
      </c>
      <c r="C24" s="90">
        <v>373368.4</v>
      </c>
      <c r="D24" s="90">
        <v>0</v>
      </c>
      <c r="E24" s="90">
        <v>0</v>
      </c>
      <c r="F24" s="90">
        <v>0</v>
      </c>
      <c r="G24" s="94">
        <f t="shared" ref="G24:G31" si="3">SUM(C24:F24)</f>
        <v>373368.4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5">
      <c r="A25" s="27" t="s">
        <v>159</v>
      </c>
      <c r="B25" s="90">
        <v>100000</v>
      </c>
      <c r="C25" s="90">
        <v>35683.230000000003</v>
      </c>
      <c r="D25" s="90">
        <v>0</v>
      </c>
      <c r="E25" s="90">
        <v>0</v>
      </c>
      <c r="F25" s="90">
        <v>0</v>
      </c>
      <c r="G25" s="94">
        <f t="shared" si="3"/>
        <v>35683.230000000003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5">
      <c r="A26" s="27" t="s">
        <v>160</v>
      </c>
      <c r="B26" s="90">
        <v>1300000</v>
      </c>
      <c r="C26" s="90">
        <v>760631</v>
      </c>
      <c r="D26" s="90">
        <v>0</v>
      </c>
      <c r="E26" s="90">
        <v>0</v>
      </c>
      <c r="F26" s="90">
        <v>0</v>
      </c>
      <c r="G26" s="94">
        <f t="shared" si="3"/>
        <v>760631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5">
      <c r="A27" s="27" t="s">
        <v>161</v>
      </c>
      <c r="B27" s="90">
        <v>51500</v>
      </c>
      <c r="C27" s="90">
        <v>90990</v>
      </c>
      <c r="D27" s="90">
        <v>0</v>
      </c>
      <c r="E27" s="90">
        <v>0</v>
      </c>
      <c r="F27" s="90">
        <v>0</v>
      </c>
      <c r="G27" s="94">
        <f t="shared" si="3"/>
        <v>90990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5">
      <c r="A28" s="27" t="s">
        <v>162</v>
      </c>
      <c r="B28" s="90">
        <v>2000</v>
      </c>
      <c r="C28" s="90">
        <v>0</v>
      </c>
      <c r="D28" s="90">
        <v>0</v>
      </c>
      <c r="E28" s="90">
        <v>0</v>
      </c>
      <c r="F28" s="90">
        <v>0</v>
      </c>
      <c r="G28" s="94">
        <f t="shared" si="3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5">
      <c r="A29" s="27" t="s">
        <v>163</v>
      </c>
      <c r="B29" s="90">
        <v>27357000</v>
      </c>
      <c r="C29" s="90">
        <v>22833373.91</v>
      </c>
      <c r="D29" s="90">
        <v>0</v>
      </c>
      <c r="E29" s="90">
        <v>0</v>
      </c>
      <c r="F29" s="90">
        <v>0</v>
      </c>
      <c r="G29" s="94">
        <f t="shared" si="3"/>
        <v>22833373.91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5">
      <c r="A30" s="27" t="s">
        <v>164</v>
      </c>
      <c r="B30" s="90">
        <v>32800000</v>
      </c>
      <c r="C30" s="90">
        <v>25882956</v>
      </c>
      <c r="D30" s="90">
        <v>0</v>
      </c>
      <c r="E30" s="90">
        <v>0</v>
      </c>
      <c r="F30" s="90">
        <v>0</v>
      </c>
      <c r="G30" s="94">
        <f t="shared" si="3"/>
        <v>25882956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5">
      <c r="A31" s="27" t="s">
        <v>165</v>
      </c>
      <c r="B31" s="90">
        <v>0</v>
      </c>
      <c r="C31" s="90">
        <v>0</v>
      </c>
      <c r="D31" s="90">
        <v>151561</v>
      </c>
      <c r="E31" s="90">
        <v>0</v>
      </c>
      <c r="F31" s="90">
        <v>0</v>
      </c>
      <c r="G31" s="94">
        <f t="shared" si="3"/>
        <v>151561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24" thickBot="1" x14ac:dyDescent="0.55000000000000004">
      <c r="A32" s="89" t="s">
        <v>166</v>
      </c>
      <c r="B32" s="93">
        <f>SUM(B23:B31)</f>
        <v>63000000</v>
      </c>
      <c r="C32" s="93">
        <f>SUM(C23:C31)</f>
        <v>50365935.539999999</v>
      </c>
      <c r="D32" s="93">
        <f>SUM(D23:D31)</f>
        <v>151561</v>
      </c>
      <c r="E32" s="93">
        <f t="shared" ref="E32:F32" si="4">SUM(E23:E31)</f>
        <v>0</v>
      </c>
      <c r="F32" s="93">
        <f t="shared" si="4"/>
        <v>0</v>
      </c>
      <c r="G32" s="91">
        <f>SUM(C32:F32)</f>
        <v>50517496.539999999</v>
      </c>
    </row>
    <row r="33" spans="1:18" ht="24.75" thickTop="1" thickBot="1" x14ac:dyDescent="0.55000000000000004">
      <c r="A33" s="126" t="s">
        <v>167</v>
      </c>
      <c r="B33" s="127"/>
      <c r="C33" s="127"/>
      <c r="D33" s="127"/>
      <c r="E33" s="127"/>
      <c r="F33" s="127"/>
      <c r="G33" s="95">
        <f>G32-G21</f>
        <v>8661265.4499999955</v>
      </c>
    </row>
    <row r="34" spans="1:18" ht="24" thickTop="1" x14ac:dyDescent="0.5"/>
    <row r="37" spans="1:18" ht="36" x14ac:dyDescent="0.75">
      <c r="A37" s="124" t="s">
        <v>125</v>
      </c>
      <c r="B37" s="124"/>
      <c r="C37" s="124"/>
      <c r="D37" s="124"/>
      <c r="E37" s="124" t="s">
        <v>168</v>
      </c>
      <c r="F37" s="124"/>
      <c r="G37" s="124"/>
      <c r="H37" s="124"/>
      <c r="I37" s="124"/>
      <c r="J37" s="124"/>
      <c r="K37" s="96"/>
      <c r="L37" s="96"/>
      <c r="M37" s="125" t="s">
        <v>146</v>
      </c>
      <c r="N37" s="125"/>
      <c r="O37" s="125"/>
      <c r="P37" s="125"/>
      <c r="Q37" s="125"/>
      <c r="R37" s="96"/>
    </row>
    <row r="38" spans="1:18" ht="36" x14ac:dyDescent="0.75">
      <c r="A38" s="124" t="s">
        <v>126</v>
      </c>
      <c r="B38" s="124"/>
      <c r="C38" s="124"/>
      <c r="D38" s="124"/>
      <c r="E38" s="124" t="s">
        <v>145</v>
      </c>
      <c r="F38" s="124"/>
      <c r="G38" s="124"/>
      <c r="H38" s="124"/>
      <c r="I38" s="124"/>
      <c r="J38" s="124"/>
      <c r="K38" s="96"/>
      <c r="L38" s="96"/>
      <c r="M38" s="125" t="s">
        <v>147</v>
      </c>
      <c r="N38" s="125"/>
      <c r="O38" s="125"/>
      <c r="P38" s="125"/>
      <c r="Q38" s="125"/>
      <c r="R38" s="96"/>
    </row>
    <row r="39" spans="1:18" ht="36" x14ac:dyDescent="0.75">
      <c r="A39" s="97"/>
      <c r="B39" s="97"/>
      <c r="C39" s="97"/>
      <c r="D39" s="97"/>
      <c r="E39" s="124" t="s">
        <v>108</v>
      </c>
      <c r="F39" s="124"/>
      <c r="G39" s="124"/>
      <c r="H39" s="124"/>
      <c r="I39" s="124"/>
      <c r="J39" s="124"/>
      <c r="K39" s="96"/>
      <c r="L39" s="96"/>
      <c r="M39" s="96"/>
      <c r="N39" s="96"/>
      <c r="O39" s="96"/>
      <c r="P39" s="96"/>
      <c r="Q39" s="96"/>
      <c r="R39" s="96"/>
    </row>
    <row r="40" spans="1:18" ht="36" x14ac:dyDescent="0.75">
      <c r="A40" s="97"/>
      <c r="B40" s="97"/>
      <c r="C40" s="97"/>
      <c r="D40" s="97"/>
      <c r="E40" s="97"/>
      <c r="F40" s="97"/>
      <c r="G40" s="97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18" ht="26.25" x14ac:dyDescent="0.55000000000000004">
      <c r="A41" s="47"/>
      <c r="B41" s="47"/>
      <c r="C41" s="47"/>
      <c r="D41" s="47"/>
      <c r="E41" s="47"/>
      <c r="F41" s="47"/>
      <c r="G41" s="47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</sheetData>
  <mergeCells count="19">
    <mergeCell ref="A38:D38"/>
    <mergeCell ref="E37:J37"/>
    <mergeCell ref="E38:J38"/>
    <mergeCell ref="E39:J39"/>
    <mergeCell ref="R4:R8"/>
    <mergeCell ref="G4:G8"/>
    <mergeCell ref="M37:Q37"/>
    <mergeCell ref="M38:Q38"/>
    <mergeCell ref="A33:F33"/>
    <mergeCell ref="A37:D37"/>
    <mergeCell ref="A1:R1"/>
    <mergeCell ref="A2:R2"/>
    <mergeCell ref="A3:R3"/>
    <mergeCell ref="A4:A8"/>
    <mergeCell ref="B4:B8"/>
    <mergeCell ref="J4:J8"/>
    <mergeCell ref="K4:K8"/>
    <mergeCell ref="P4:P8"/>
    <mergeCell ref="Q4:Q8"/>
  </mergeCells>
  <pageMargins left="0.36458333333333331" right="0.25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"/>
    </sheetView>
  </sheetViews>
  <sheetFormatPr defaultRowHeight="14.2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H16" sqref="H16"/>
    </sheetView>
  </sheetViews>
  <sheetFormatPr defaultRowHeight="23.25" x14ac:dyDescent="0.5"/>
  <cols>
    <col min="1" max="1" width="10.875" style="1" customWidth="1"/>
    <col min="2" max="2" width="18" style="1" customWidth="1"/>
    <col min="3" max="3" width="10.625" style="7" customWidth="1"/>
    <col min="4" max="4" width="10.25" style="7" bestFit="1" customWidth="1"/>
    <col min="5" max="5" width="11.375" style="7" bestFit="1" customWidth="1"/>
    <col min="6" max="6" width="10.25" style="7" bestFit="1" customWidth="1"/>
    <col min="7" max="7" width="11.375" style="7" customWidth="1"/>
    <col min="8" max="8" width="13.875" style="7" customWidth="1"/>
    <col min="9" max="9" width="10.125" style="7" bestFit="1" customWidth="1"/>
    <col min="10" max="10" width="10.625" style="7" bestFit="1" customWidth="1"/>
    <col min="11" max="11" width="10.125" style="7" bestFit="1" customWidth="1"/>
    <col min="12" max="12" width="10.75" style="7" customWidth="1"/>
    <col min="13" max="13" width="11.75" style="7" customWidth="1"/>
    <col min="14" max="14" width="13.125" style="7" customWidth="1"/>
    <col min="15" max="16384" width="9" style="1"/>
  </cols>
  <sheetData>
    <row r="1" spans="1:14" x14ac:dyDescent="0.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5">
      <c r="A2" s="118" t="s">
        <v>82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5">
      <c r="A3" s="118" t="s">
        <v>180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5">
      <c r="A4" s="109" t="s">
        <v>13</v>
      </c>
      <c r="B4" s="109" t="s">
        <v>4</v>
      </c>
      <c r="C4" s="25" t="s">
        <v>64</v>
      </c>
      <c r="D4" s="25" t="s">
        <v>66</v>
      </c>
      <c r="E4" s="109" t="s">
        <v>8</v>
      </c>
      <c r="F4" s="109" t="s">
        <v>99</v>
      </c>
      <c r="G4" s="25" t="s">
        <v>136</v>
      </c>
      <c r="H4" s="25"/>
      <c r="I4" s="25" t="s">
        <v>73</v>
      </c>
      <c r="J4" s="25" t="s">
        <v>76</v>
      </c>
      <c r="K4" s="109" t="s">
        <v>80</v>
      </c>
      <c r="L4" s="109" t="s">
        <v>81</v>
      </c>
      <c r="M4" s="109" t="s">
        <v>10</v>
      </c>
      <c r="N4" s="109" t="s">
        <v>1</v>
      </c>
    </row>
    <row r="5" spans="1:14" x14ac:dyDescent="0.5">
      <c r="A5" s="122"/>
      <c r="B5" s="122"/>
      <c r="C5" s="28" t="s">
        <v>3</v>
      </c>
      <c r="D5" s="28" t="s">
        <v>67</v>
      </c>
      <c r="E5" s="122"/>
      <c r="F5" s="122"/>
      <c r="G5" s="28" t="s">
        <v>79</v>
      </c>
      <c r="H5" s="28"/>
      <c r="I5" s="28" t="s">
        <v>67</v>
      </c>
      <c r="J5" s="28" t="s">
        <v>77</v>
      </c>
      <c r="K5" s="122"/>
      <c r="L5" s="122"/>
      <c r="M5" s="122"/>
      <c r="N5" s="122"/>
    </row>
    <row r="6" spans="1:14" x14ac:dyDescent="0.5">
      <c r="A6" s="122"/>
      <c r="B6" s="122"/>
      <c r="C6" s="28" t="s">
        <v>65</v>
      </c>
      <c r="D6" s="28" t="s">
        <v>68</v>
      </c>
      <c r="E6" s="122"/>
      <c r="F6" s="122"/>
      <c r="G6" s="28" t="s">
        <v>138</v>
      </c>
      <c r="H6" s="28" t="s">
        <v>71</v>
      </c>
      <c r="I6" s="28" t="s">
        <v>74</v>
      </c>
      <c r="J6" s="28" t="s">
        <v>78</v>
      </c>
      <c r="K6" s="122"/>
      <c r="L6" s="122"/>
      <c r="M6" s="122"/>
      <c r="N6" s="122"/>
    </row>
    <row r="7" spans="1:14" x14ac:dyDescent="0.5">
      <c r="A7" s="122"/>
      <c r="B7" s="122"/>
      <c r="C7" s="28"/>
      <c r="D7" s="28"/>
      <c r="E7" s="122"/>
      <c r="F7" s="122"/>
      <c r="G7" s="28"/>
      <c r="H7" s="28" t="s">
        <v>72</v>
      </c>
      <c r="I7" s="28" t="s">
        <v>75</v>
      </c>
      <c r="J7" s="28" t="s">
        <v>79</v>
      </c>
      <c r="K7" s="122"/>
      <c r="L7" s="122"/>
      <c r="M7" s="122"/>
      <c r="N7" s="122"/>
    </row>
    <row r="8" spans="1:14" x14ac:dyDescent="0.5">
      <c r="A8" s="111"/>
      <c r="B8" s="111"/>
      <c r="C8" s="26"/>
      <c r="D8" s="26"/>
      <c r="E8" s="111"/>
      <c r="F8" s="111"/>
      <c r="G8" s="26"/>
      <c r="H8" s="26"/>
      <c r="I8" s="26"/>
      <c r="J8" s="26" t="s">
        <v>53</v>
      </c>
      <c r="K8" s="111"/>
      <c r="L8" s="111"/>
      <c r="M8" s="111"/>
      <c r="N8" s="111"/>
    </row>
    <row r="9" spans="1:14" x14ac:dyDescent="0.5">
      <c r="A9" s="33" t="s">
        <v>83</v>
      </c>
      <c r="B9" s="30"/>
      <c r="C9" s="28"/>
      <c r="D9" s="28"/>
      <c r="E9" s="30"/>
      <c r="F9" s="30"/>
      <c r="G9" s="28"/>
      <c r="H9" s="28"/>
      <c r="I9" s="28"/>
      <c r="J9" s="28"/>
      <c r="K9" s="30"/>
      <c r="L9" s="30"/>
      <c r="M9" s="30"/>
      <c r="N9" s="30"/>
    </row>
    <row r="10" spans="1:14" x14ac:dyDescent="0.5">
      <c r="A10" s="27" t="s">
        <v>20</v>
      </c>
      <c r="B10" s="27" t="s">
        <v>22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SUM(C10:M10)</f>
        <v>0</v>
      </c>
    </row>
    <row r="11" spans="1:14" x14ac:dyDescent="0.5">
      <c r="A11" s="3"/>
      <c r="B11" s="27" t="s">
        <v>21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SUM(C11:M11)</f>
        <v>0</v>
      </c>
    </row>
    <row r="12" spans="1:14" x14ac:dyDescent="0.5">
      <c r="A12" s="3" t="s">
        <v>23</v>
      </c>
      <c r="B12" s="27" t="s">
        <v>11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ref="N12:N20" si="0">SUM(C12:M12)</f>
        <v>0</v>
      </c>
    </row>
    <row r="13" spans="1:14" x14ac:dyDescent="0.5">
      <c r="A13" s="3"/>
      <c r="B13" s="27" t="s">
        <v>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0"/>
        <v>0</v>
      </c>
    </row>
    <row r="14" spans="1:14" x14ac:dyDescent="0.5">
      <c r="A14" s="3"/>
      <c r="B14" s="27" t="s">
        <v>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</row>
    <row r="15" spans="1:14" x14ac:dyDescent="0.5">
      <c r="A15" s="3"/>
      <c r="B15" s="27" t="s">
        <v>24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</row>
    <row r="16" spans="1:14" x14ac:dyDescent="0.5">
      <c r="A16" s="3" t="s">
        <v>25</v>
      </c>
      <c r="B16" s="27" t="s">
        <v>26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0</v>
      </c>
    </row>
    <row r="17" spans="1:14" x14ac:dyDescent="0.5">
      <c r="A17" s="3"/>
      <c r="B17" s="27" t="s">
        <v>27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</row>
    <row r="18" spans="1:14" x14ac:dyDescent="0.5">
      <c r="A18" s="3" t="s">
        <v>28</v>
      </c>
      <c r="B18" s="27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</row>
    <row r="19" spans="1:14" x14ac:dyDescent="0.5">
      <c r="A19" s="3" t="s">
        <v>29</v>
      </c>
      <c r="B19" s="27" t="s">
        <v>30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</row>
    <row r="20" spans="1:14" x14ac:dyDescent="0.5">
      <c r="A20" s="16" t="s">
        <v>10</v>
      </c>
      <c r="B20" s="16" t="s">
        <v>10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1809367</v>
      </c>
      <c r="N20" s="4">
        <f t="shared" si="0"/>
        <v>1809367</v>
      </c>
    </row>
    <row r="21" spans="1:14" ht="24" thickBot="1" x14ac:dyDescent="0.55000000000000004">
      <c r="A21" s="119" t="s">
        <v>1</v>
      </c>
      <c r="B21" s="120"/>
      <c r="C21" s="29">
        <f>SUM(C10:C20)</f>
        <v>0</v>
      </c>
      <c r="D21" s="29">
        <f t="shared" ref="D21:M21" si="1">SUM(D10:D20)</f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  <c r="H21" s="29">
        <f t="shared" si="1"/>
        <v>0</v>
      </c>
      <c r="I21" s="29">
        <f t="shared" si="1"/>
        <v>0</v>
      </c>
      <c r="J21" s="29">
        <f t="shared" si="1"/>
        <v>0</v>
      </c>
      <c r="K21" s="29">
        <f t="shared" si="1"/>
        <v>0</v>
      </c>
      <c r="L21" s="29">
        <f t="shared" si="1"/>
        <v>0</v>
      </c>
      <c r="M21" s="29">
        <f t="shared" si="1"/>
        <v>1809367</v>
      </c>
      <c r="N21" s="29">
        <f>SUM(N10:N20)</f>
        <v>1809367</v>
      </c>
    </row>
    <row r="22" spans="1:14" ht="24" thickTop="1" x14ac:dyDescent="0.5"/>
    <row r="24" spans="1:14" ht="24.75" x14ac:dyDescent="0.5">
      <c r="A24" s="116" t="s">
        <v>121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ht="24.75" x14ac:dyDescent="0.5">
      <c r="A25" s="116" t="s">
        <v>112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</row>
    <row r="26" spans="1:14" ht="24.75" x14ac:dyDescent="0.5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24.75" x14ac:dyDescent="0.5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</sheetData>
  <mergeCells count="15"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N4:N8"/>
    <mergeCell ref="A25:N25"/>
  </mergeCells>
  <pageMargins left="0.62541666666666662" right="0.25" top="0.75" bottom="0.75" header="0.3" footer="0.3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H14" sqref="H14"/>
    </sheetView>
  </sheetViews>
  <sheetFormatPr defaultRowHeight="23.25" x14ac:dyDescent="0.5"/>
  <cols>
    <col min="1" max="1" width="12.875" style="1" customWidth="1"/>
    <col min="2" max="2" width="18" style="1" customWidth="1"/>
    <col min="3" max="3" width="10.75" style="7" customWidth="1"/>
    <col min="4" max="4" width="10.25" style="7" bestFit="1" customWidth="1"/>
    <col min="5" max="5" width="10.875" style="7" customWidth="1"/>
    <col min="6" max="6" width="10.25" style="7" bestFit="1" customWidth="1"/>
    <col min="7" max="7" width="12" style="7" customWidth="1"/>
    <col min="8" max="8" width="13.875" style="7" customWidth="1"/>
    <col min="9" max="9" width="10.125" style="7" bestFit="1" customWidth="1"/>
    <col min="10" max="10" width="10.625" style="7" bestFit="1" customWidth="1"/>
    <col min="11" max="11" width="10.125" style="7" bestFit="1" customWidth="1"/>
    <col min="12" max="12" width="10.75" style="7" customWidth="1"/>
    <col min="13" max="13" width="12.5" style="7" bestFit="1" customWidth="1"/>
    <col min="14" max="14" width="13.125" style="7" customWidth="1"/>
    <col min="15" max="16384" width="9" style="1"/>
  </cols>
  <sheetData>
    <row r="1" spans="1:14" x14ac:dyDescent="0.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5">
      <c r="A2" s="118" t="s">
        <v>98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5">
      <c r="A3" s="118" t="s">
        <v>181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5">
      <c r="A4" s="109" t="s">
        <v>13</v>
      </c>
      <c r="B4" s="109" t="s">
        <v>4</v>
      </c>
      <c r="C4" s="25" t="s">
        <v>64</v>
      </c>
      <c r="D4" s="25" t="s">
        <v>66</v>
      </c>
      <c r="E4" s="109" t="s">
        <v>8</v>
      </c>
      <c r="F4" s="109" t="s">
        <v>99</v>
      </c>
      <c r="G4" s="25" t="s">
        <v>136</v>
      </c>
      <c r="H4" s="25"/>
      <c r="I4" s="25" t="s">
        <v>73</v>
      </c>
      <c r="J4" s="25" t="s">
        <v>76</v>
      </c>
      <c r="K4" s="109" t="s">
        <v>80</v>
      </c>
      <c r="L4" s="109" t="s">
        <v>81</v>
      </c>
      <c r="M4" s="109" t="s">
        <v>10</v>
      </c>
      <c r="N4" s="109" t="s">
        <v>1</v>
      </c>
    </row>
    <row r="5" spans="1:14" x14ac:dyDescent="0.5">
      <c r="A5" s="122"/>
      <c r="B5" s="122"/>
      <c r="C5" s="28" t="s">
        <v>3</v>
      </c>
      <c r="D5" s="28" t="s">
        <v>67</v>
      </c>
      <c r="E5" s="122"/>
      <c r="F5" s="122"/>
      <c r="G5" s="28" t="s">
        <v>79</v>
      </c>
      <c r="H5" s="28"/>
      <c r="I5" s="28" t="s">
        <v>67</v>
      </c>
      <c r="J5" s="28" t="s">
        <v>77</v>
      </c>
      <c r="K5" s="122"/>
      <c r="L5" s="122"/>
      <c r="M5" s="122"/>
      <c r="N5" s="122"/>
    </row>
    <row r="6" spans="1:14" x14ac:dyDescent="0.5">
      <c r="A6" s="122"/>
      <c r="B6" s="122"/>
      <c r="C6" s="28" t="s">
        <v>65</v>
      </c>
      <c r="D6" s="28" t="s">
        <v>68</v>
      </c>
      <c r="E6" s="122"/>
      <c r="F6" s="122"/>
      <c r="G6" s="28" t="s">
        <v>135</v>
      </c>
      <c r="H6" s="28" t="s">
        <v>71</v>
      </c>
      <c r="I6" s="28" t="s">
        <v>74</v>
      </c>
      <c r="J6" s="28" t="s">
        <v>78</v>
      </c>
      <c r="K6" s="122"/>
      <c r="L6" s="122"/>
      <c r="M6" s="122"/>
      <c r="N6" s="122"/>
    </row>
    <row r="7" spans="1:14" x14ac:dyDescent="0.5">
      <c r="A7" s="122"/>
      <c r="B7" s="122"/>
      <c r="C7" s="28"/>
      <c r="D7" s="28"/>
      <c r="E7" s="122"/>
      <c r="F7" s="122"/>
      <c r="G7" s="28"/>
      <c r="H7" s="28" t="s">
        <v>72</v>
      </c>
      <c r="I7" s="28" t="s">
        <v>75</v>
      </c>
      <c r="J7" s="28" t="s">
        <v>79</v>
      </c>
      <c r="K7" s="122"/>
      <c r="L7" s="122"/>
      <c r="M7" s="122"/>
      <c r="N7" s="122"/>
    </row>
    <row r="8" spans="1:14" x14ac:dyDescent="0.5">
      <c r="A8" s="111"/>
      <c r="B8" s="111"/>
      <c r="C8" s="26"/>
      <c r="D8" s="26"/>
      <c r="E8" s="111"/>
      <c r="F8" s="111"/>
      <c r="G8" s="26"/>
      <c r="H8" s="26"/>
      <c r="I8" s="26"/>
      <c r="J8" s="26" t="s">
        <v>53</v>
      </c>
      <c r="K8" s="111"/>
      <c r="L8" s="111"/>
      <c r="M8" s="111"/>
      <c r="N8" s="111"/>
    </row>
    <row r="9" spans="1:14" x14ac:dyDescent="0.5">
      <c r="A9" s="33" t="s">
        <v>83</v>
      </c>
      <c r="B9" s="34"/>
      <c r="C9" s="28"/>
      <c r="D9" s="28"/>
      <c r="E9" s="34"/>
      <c r="F9" s="34"/>
      <c r="G9" s="28"/>
      <c r="H9" s="28"/>
      <c r="I9" s="28"/>
      <c r="J9" s="28"/>
      <c r="K9" s="34"/>
      <c r="L9" s="34"/>
      <c r="M9" s="34"/>
      <c r="N9" s="34"/>
    </row>
    <row r="10" spans="1:14" x14ac:dyDescent="0.5">
      <c r="A10" s="27" t="s">
        <v>20</v>
      </c>
      <c r="B10" s="27" t="s">
        <v>22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SUM(C10:M10)</f>
        <v>0</v>
      </c>
    </row>
    <row r="11" spans="1:14" x14ac:dyDescent="0.5">
      <c r="A11" s="3"/>
      <c r="B11" s="27" t="s">
        <v>21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SUM(C11:M11)</f>
        <v>0</v>
      </c>
    </row>
    <row r="12" spans="1:14" x14ac:dyDescent="0.5">
      <c r="A12" s="3" t="s">
        <v>23</v>
      </c>
      <c r="B12" s="27" t="s">
        <v>11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ref="N12:N20" si="0">SUM(C12:M12)</f>
        <v>0</v>
      </c>
    </row>
    <row r="13" spans="1:14" x14ac:dyDescent="0.5">
      <c r="A13" s="3"/>
      <c r="B13" s="27" t="s">
        <v>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 t="s">
        <v>139</v>
      </c>
      <c r="J13" s="4">
        <v>0</v>
      </c>
      <c r="K13" s="4">
        <v>0</v>
      </c>
      <c r="L13" s="4">
        <v>0</v>
      </c>
      <c r="M13" s="4">
        <v>0</v>
      </c>
      <c r="N13" s="4">
        <f t="shared" si="0"/>
        <v>0</v>
      </c>
    </row>
    <row r="14" spans="1:14" x14ac:dyDescent="0.5">
      <c r="A14" s="3"/>
      <c r="B14" s="27" t="s">
        <v>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</row>
    <row r="15" spans="1:14" x14ac:dyDescent="0.5">
      <c r="A15" s="3"/>
      <c r="B15" s="27" t="s">
        <v>24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</row>
    <row r="16" spans="1:14" x14ac:dyDescent="0.5">
      <c r="A16" s="3" t="s">
        <v>25</v>
      </c>
      <c r="B16" s="27" t="s">
        <v>26</v>
      </c>
      <c r="C16" s="4">
        <v>0</v>
      </c>
      <c r="D16" s="4">
        <v>0</v>
      </c>
      <c r="E16" s="4">
        <v>30500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30500</v>
      </c>
    </row>
    <row r="17" spans="1:14" x14ac:dyDescent="0.5">
      <c r="A17" s="3"/>
      <c r="B17" s="27" t="s">
        <v>27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</row>
    <row r="18" spans="1:14" x14ac:dyDescent="0.5">
      <c r="A18" s="3" t="s">
        <v>28</v>
      </c>
      <c r="B18" s="27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</row>
    <row r="19" spans="1:14" x14ac:dyDescent="0.5">
      <c r="A19" s="3" t="s">
        <v>29</v>
      </c>
      <c r="B19" s="27" t="s">
        <v>30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</row>
    <row r="20" spans="1:14" x14ac:dyDescent="0.5">
      <c r="A20" s="16" t="s">
        <v>10</v>
      </c>
      <c r="B20" s="16" t="s">
        <v>10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4">
        <f t="shared" si="0"/>
        <v>0</v>
      </c>
    </row>
    <row r="21" spans="1:14" ht="24" thickBot="1" x14ac:dyDescent="0.55000000000000004">
      <c r="A21" s="119" t="s">
        <v>1</v>
      </c>
      <c r="B21" s="120"/>
      <c r="C21" s="29">
        <f>SUM(C10:C20)</f>
        <v>0</v>
      </c>
      <c r="D21" s="29">
        <f t="shared" ref="D21:M21" si="1">SUM(D10:D20)</f>
        <v>0</v>
      </c>
      <c r="E21" s="29">
        <f t="shared" si="1"/>
        <v>30500</v>
      </c>
      <c r="F21" s="29">
        <f t="shared" si="1"/>
        <v>0</v>
      </c>
      <c r="G21" s="29">
        <f t="shared" si="1"/>
        <v>0</v>
      </c>
      <c r="H21" s="29">
        <f t="shared" si="1"/>
        <v>0</v>
      </c>
      <c r="I21" s="29">
        <f t="shared" si="1"/>
        <v>0</v>
      </c>
      <c r="J21" s="29">
        <f t="shared" si="1"/>
        <v>0</v>
      </c>
      <c r="K21" s="29">
        <f t="shared" si="1"/>
        <v>0</v>
      </c>
      <c r="L21" s="29">
        <f t="shared" si="1"/>
        <v>0</v>
      </c>
      <c r="M21" s="29">
        <f t="shared" si="1"/>
        <v>0</v>
      </c>
      <c r="N21" s="29">
        <f>SUM(N10:N20)</f>
        <v>30500</v>
      </c>
    </row>
    <row r="22" spans="1:14" ht="24" thickTop="1" x14ac:dyDescent="0.5">
      <c r="E22" s="7" t="s">
        <v>132</v>
      </c>
    </row>
    <row r="24" spans="1:14" ht="24.75" x14ac:dyDescent="0.5">
      <c r="A24" s="116" t="s">
        <v>141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ht="24.75" x14ac:dyDescent="0.5">
      <c r="A25" s="116" t="s">
        <v>112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</row>
    <row r="26" spans="1:14" ht="24.75" x14ac:dyDescent="0.5">
      <c r="A26" s="116" t="s">
        <v>140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24.75" x14ac:dyDescent="0.5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</sheetData>
  <mergeCells count="15">
    <mergeCell ref="N4:N8"/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A25:N25"/>
  </mergeCells>
  <pageMargins left="0.62541666666666662" right="0.25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topLeftCell="A16" zoomScale="60" zoomScaleNormal="80" zoomScaleSheetLayoutView="70" zoomScalePageLayoutView="60" workbookViewId="0">
      <selection activeCell="D42" sqref="D42:E42"/>
    </sheetView>
  </sheetViews>
  <sheetFormatPr defaultRowHeight="26.25" x14ac:dyDescent="0.55000000000000004"/>
  <cols>
    <col min="1" max="1" width="40.375" style="47" customWidth="1"/>
    <col min="2" max="2" width="21.125" style="61" customWidth="1"/>
    <col min="3" max="3" width="22.125" style="61" customWidth="1"/>
    <col min="4" max="4" width="19.75" style="61" customWidth="1"/>
    <col min="5" max="5" width="20.875" style="61" customWidth="1"/>
    <col min="6" max="6" width="25" style="47" customWidth="1"/>
    <col min="7" max="8" width="9" style="47"/>
    <col min="9" max="9" width="13.75" style="47" bestFit="1" customWidth="1"/>
    <col min="10" max="16384" width="9" style="47"/>
  </cols>
  <sheetData>
    <row r="1" spans="1:6" ht="29.25" x14ac:dyDescent="0.6">
      <c r="A1" s="123" t="s">
        <v>0</v>
      </c>
      <c r="B1" s="123"/>
      <c r="C1" s="123"/>
      <c r="D1" s="123"/>
      <c r="E1" s="123"/>
      <c r="F1" s="123"/>
    </row>
    <row r="2" spans="1:6" ht="29.25" x14ac:dyDescent="0.6">
      <c r="A2" s="123" t="s">
        <v>123</v>
      </c>
      <c r="B2" s="123"/>
      <c r="C2" s="123"/>
      <c r="D2" s="123"/>
      <c r="E2" s="123"/>
      <c r="F2" s="123"/>
    </row>
    <row r="3" spans="1:6" ht="29.25" x14ac:dyDescent="0.6">
      <c r="A3" s="123" t="s">
        <v>183</v>
      </c>
      <c r="B3" s="123"/>
      <c r="C3" s="123"/>
      <c r="D3" s="123"/>
      <c r="E3" s="123"/>
      <c r="F3" s="123"/>
    </row>
    <row r="4" spans="1:6" ht="29.25" x14ac:dyDescent="0.6">
      <c r="A4" s="123" t="s">
        <v>182</v>
      </c>
      <c r="B4" s="123"/>
      <c r="C4" s="123"/>
      <c r="D4" s="123"/>
      <c r="E4" s="123"/>
      <c r="F4" s="123"/>
    </row>
    <row r="5" spans="1:6" s="6" customFormat="1" x14ac:dyDescent="0.55000000000000004">
      <c r="A5" s="128" t="s">
        <v>128</v>
      </c>
      <c r="B5" s="133" t="s">
        <v>127</v>
      </c>
      <c r="C5" s="134"/>
      <c r="D5" s="134"/>
      <c r="E5" s="134"/>
      <c r="F5" s="135"/>
    </row>
    <row r="6" spans="1:6" s="6" customFormat="1" x14ac:dyDescent="0.55000000000000004">
      <c r="A6" s="129"/>
      <c r="B6" s="43" t="s">
        <v>85</v>
      </c>
      <c r="C6" s="43" t="s">
        <v>85</v>
      </c>
      <c r="D6" s="43" t="s">
        <v>85</v>
      </c>
      <c r="E6" s="43" t="s">
        <v>85</v>
      </c>
      <c r="F6" s="128" t="s">
        <v>1</v>
      </c>
    </row>
    <row r="7" spans="1:6" s="6" customFormat="1" x14ac:dyDescent="0.55000000000000004">
      <c r="A7" s="129"/>
      <c r="B7" s="43" t="s">
        <v>15</v>
      </c>
      <c r="C7" s="43" t="s">
        <v>142</v>
      </c>
      <c r="D7" s="43" t="s">
        <v>124</v>
      </c>
      <c r="E7" s="43" t="s">
        <v>105</v>
      </c>
      <c r="F7" s="129"/>
    </row>
    <row r="8" spans="1:6" s="6" customFormat="1" x14ac:dyDescent="0.55000000000000004">
      <c r="A8" s="132"/>
      <c r="B8" s="44"/>
      <c r="C8" s="44" t="s">
        <v>143</v>
      </c>
      <c r="D8" s="44"/>
      <c r="E8" s="44"/>
      <c r="F8" s="111"/>
    </row>
    <row r="9" spans="1:6" x14ac:dyDescent="0.55000000000000004">
      <c r="A9" s="36" t="s">
        <v>83</v>
      </c>
      <c r="B9" s="45"/>
      <c r="C9" s="45"/>
      <c r="D9" s="45"/>
      <c r="E9" s="45"/>
      <c r="F9" s="46"/>
    </row>
    <row r="10" spans="1:6" x14ac:dyDescent="0.55000000000000004">
      <c r="A10" s="48" t="s">
        <v>10</v>
      </c>
      <c r="B10" s="74">
        <v>16020680.5</v>
      </c>
      <c r="C10" s="74">
        <v>0</v>
      </c>
      <c r="D10" s="74">
        <v>1809367</v>
      </c>
      <c r="E10" s="74">
        <v>0</v>
      </c>
      <c r="F10" s="50">
        <f>SUM(B10:E10)</f>
        <v>17830047.5</v>
      </c>
    </row>
    <row r="11" spans="1:6" x14ac:dyDescent="0.55000000000000004">
      <c r="A11" s="48" t="s">
        <v>22</v>
      </c>
      <c r="B11" s="49">
        <v>2417774</v>
      </c>
      <c r="C11" s="49">
        <v>0</v>
      </c>
      <c r="D11" s="49">
        <v>0</v>
      </c>
      <c r="E11" s="49">
        <v>0</v>
      </c>
      <c r="F11" s="50">
        <f>SUM(B11:E11)</f>
        <v>2417774</v>
      </c>
    </row>
    <row r="12" spans="1:6" x14ac:dyDescent="0.55000000000000004">
      <c r="A12" s="48" t="s">
        <v>21</v>
      </c>
      <c r="B12" s="49">
        <f>5241680+142410+2055820</f>
        <v>7439910</v>
      </c>
      <c r="C12" s="49">
        <v>0</v>
      </c>
      <c r="D12" s="49">
        <v>0</v>
      </c>
      <c r="E12" s="49">
        <v>0</v>
      </c>
      <c r="F12" s="50">
        <f t="shared" ref="F12:F20" si="0">SUM(B12:E12)</f>
        <v>7439910</v>
      </c>
    </row>
    <row r="13" spans="1:6" x14ac:dyDescent="0.55000000000000004">
      <c r="A13" s="48" t="s">
        <v>11</v>
      </c>
      <c r="B13" s="49">
        <v>523349</v>
      </c>
      <c r="C13" s="49">
        <v>0</v>
      </c>
      <c r="D13" s="49">
        <v>0</v>
      </c>
      <c r="E13" s="49">
        <v>0</v>
      </c>
      <c r="F13" s="50">
        <f t="shared" si="0"/>
        <v>523349</v>
      </c>
    </row>
    <row r="14" spans="1:6" x14ac:dyDescent="0.55000000000000004">
      <c r="A14" s="48" t="s">
        <v>6</v>
      </c>
      <c r="B14" s="49">
        <v>2767391.26</v>
      </c>
      <c r="C14" s="49">
        <v>0</v>
      </c>
      <c r="D14" s="49">
        <v>0</v>
      </c>
      <c r="E14" s="49">
        <v>0</v>
      </c>
      <c r="F14" s="50">
        <f t="shared" si="0"/>
        <v>2767391.26</v>
      </c>
    </row>
    <row r="15" spans="1:6" x14ac:dyDescent="0.55000000000000004">
      <c r="A15" s="48" t="s">
        <v>9</v>
      </c>
      <c r="B15" s="49">
        <v>1419515.69</v>
      </c>
      <c r="C15" s="49">
        <v>0</v>
      </c>
      <c r="D15" s="49">
        <v>0</v>
      </c>
      <c r="E15" s="49">
        <v>0</v>
      </c>
      <c r="F15" s="50">
        <f t="shared" si="0"/>
        <v>1419515.69</v>
      </c>
    </row>
    <row r="16" spans="1:6" x14ac:dyDescent="0.55000000000000004">
      <c r="A16" s="48" t="s">
        <v>24</v>
      </c>
      <c r="B16" s="49">
        <v>1955746.14</v>
      </c>
      <c r="C16" s="49">
        <v>0</v>
      </c>
      <c r="D16" s="49">
        <v>0</v>
      </c>
      <c r="E16" s="49">
        <v>0</v>
      </c>
      <c r="F16" s="50">
        <f t="shared" si="0"/>
        <v>1955746.14</v>
      </c>
    </row>
    <row r="17" spans="1:9" x14ac:dyDescent="0.55000000000000004">
      <c r="A17" s="48" t="s">
        <v>26</v>
      </c>
      <c r="B17" s="49">
        <v>0</v>
      </c>
      <c r="C17" s="49">
        <v>30500</v>
      </c>
      <c r="D17" s="49">
        <v>0</v>
      </c>
      <c r="E17" s="49">
        <v>0</v>
      </c>
      <c r="F17" s="50">
        <f t="shared" si="0"/>
        <v>30500</v>
      </c>
    </row>
    <row r="18" spans="1:9" x14ac:dyDescent="0.55000000000000004">
      <c r="A18" s="48" t="s">
        <v>27</v>
      </c>
      <c r="B18" s="49">
        <v>5796000</v>
      </c>
      <c r="C18" s="49">
        <v>0</v>
      </c>
      <c r="D18" s="51">
        <v>0</v>
      </c>
      <c r="E18" s="51">
        <v>0</v>
      </c>
      <c r="F18" s="50">
        <f t="shared" si="0"/>
        <v>5796000</v>
      </c>
    </row>
    <row r="19" spans="1:9" x14ac:dyDescent="0.55000000000000004">
      <c r="A19" s="48" t="s">
        <v>7</v>
      </c>
      <c r="B19" s="49">
        <v>0</v>
      </c>
      <c r="C19" s="49">
        <v>0</v>
      </c>
      <c r="D19" s="49">
        <v>0</v>
      </c>
      <c r="E19" s="49">
        <v>0</v>
      </c>
      <c r="F19" s="50">
        <f t="shared" si="0"/>
        <v>0</v>
      </c>
    </row>
    <row r="20" spans="1:9" x14ac:dyDescent="0.55000000000000004">
      <c r="A20" s="48" t="s">
        <v>30</v>
      </c>
      <c r="B20" s="49">
        <v>1675997.5</v>
      </c>
      <c r="C20" s="49">
        <v>0</v>
      </c>
      <c r="D20" s="49">
        <v>0</v>
      </c>
      <c r="E20" s="49">
        <v>0</v>
      </c>
      <c r="F20" s="50">
        <f t="shared" si="0"/>
        <v>1675997.5</v>
      </c>
    </row>
    <row r="21" spans="1:9" ht="27" thickBot="1" x14ac:dyDescent="0.6">
      <c r="A21" s="64" t="s">
        <v>86</v>
      </c>
      <c r="B21" s="52">
        <f>SUM(B10:B20)</f>
        <v>40016364.090000004</v>
      </c>
      <c r="C21" s="52">
        <f>SUM(C10:C20)</f>
        <v>30500</v>
      </c>
      <c r="D21" s="52">
        <f>SUM(D10:D20)</f>
        <v>1809367</v>
      </c>
      <c r="E21" s="52">
        <f>SUM(E11:E20)</f>
        <v>0</v>
      </c>
      <c r="F21" s="53">
        <f>SUM(F10:F20)</f>
        <v>41856231.089999996</v>
      </c>
      <c r="I21" s="77"/>
    </row>
    <row r="22" spans="1:9" ht="27" thickTop="1" x14ac:dyDescent="0.55000000000000004">
      <c r="A22" s="63" t="s">
        <v>87</v>
      </c>
      <c r="B22" s="54"/>
      <c r="C22" s="54"/>
      <c r="D22" s="54"/>
      <c r="E22" s="54"/>
      <c r="F22" s="55"/>
    </row>
    <row r="23" spans="1:9" x14ac:dyDescent="0.55000000000000004">
      <c r="A23" s="56" t="s">
        <v>88</v>
      </c>
      <c r="B23" s="57"/>
      <c r="C23" s="57"/>
      <c r="D23" s="57"/>
      <c r="E23" s="57"/>
      <c r="F23" s="58">
        <v>388933</v>
      </c>
    </row>
    <row r="24" spans="1:9" x14ac:dyDescent="0.55000000000000004">
      <c r="A24" s="56" t="s">
        <v>96</v>
      </c>
      <c r="B24" s="57"/>
      <c r="C24" s="57"/>
      <c r="D24" s="57"/>
      <c r="E24" s="57"/>
      <c r="F24" s="59">
        <v>373368.4</v>
      </c>
    </row>
    <row r="25" spans="1:9" x14ac:dyDescent="0.55000000000000004">
      <c r="A25" s="56" t="s">
        <v>89</v>
      </c>
      <c r="B25" s="57"/>
      <c r="C25" s="57"/>
      <c r="D25" s="57"/>
      <c r="E25" s="57"/>
      <c r="F25" s="59">
        <v>760631</v>
      </c>
    </row>
    <row r="26" spans="1:9" x14ac:dyDescent="0.55000000000000004">
      <c r="A26" s="56" t="s">
        <v>90</v>
      </c>
      <c r="B26" s="57"/>
      <c r="C26" s="57"/>
      <c r="D26" s="57"/>
      <c r="E26" s="57"/>
      <c r="F26" s="59">
        <v>90990</v>
      </c>
    </row>
    <row r="27" spans="1:9" x14ac:dyDescent="0.55000000000000004">
      <c r="A27" s="56" t="s">
        <v>106</v>
      </c>
      <c r="B27" s="57"/>
      <c r="C27" s="57"/>
      <c r="D27" s="57"/>
      <c r="E27" s="57"/>
      <c r="F27" s="59">
        <v>0</v>
      </c>
    </row>
    <row r="28" spans="1:9" x14ac:dyDescent="0.55000000000000004">
      <c r="A28" s="56" t="s">
        <v>97</v>
      </c>
      <c r="B28" s="57"/>
      <c r="C28" s="57"/>
      <c r="D28" s="57"/>
      <c r="E28" s="57"/>
      <c r="F28" s="59">
        <v>35683.233</v>
      </c>
    </row>
    <row r="29" spans="1:9" x14ac:dyDescent="0.55000000000000004">
      <c r="A29" s="56" t="s">
        <v>91</v>
      </c>
      <c r="B29" s="57"/>
      <c r="C29" s="57"/>
      <c r="D29" s="57"/>
      <c r="E29" s="57"/>
      <c r="F29" s="59">
        <v>22833373.91</v>
      </c>
    </row>
    <row r="30" spans="1:9" x14ac:dyDescent="0.55000000000000004">
      <c r="A30" s="56" t="s">
        <v>92</v>
      </c>
      <c r="B30" s="57"/>
      <c r="C30" s="57"/>
      <c r="D30" s="57"/>
      <c r="E30" s="57"/>
      <c r="F30" s="59">
        <v>25882956</v>
      </c>
    </row>
    <row r="31" spans="1:9" x14ac:dyDescent="0.55000000000000004">
      <c r="A31" s="65" t="s">
        <v>93</v>
      </c>
      <c r="B31" s="66"/>
      <c r="C31" s="66"/>
      <c r="D31" s="66"/>
      <c r="E31" s="66"/>
      <c r="F31" s="67">
        <v>151561</v>
      </c>
    </row>
    <row r="32" spans="1:9" ht="27" thickBot="1" x14ac:dyDescent="0.6">
      <c r="A32" s="70" t="s">
        <v>94</v>
      </c>
      <c r="B32" s="71"/>
      <c r="C32" s="71"/>
      <c r="D32" s="72"/>
      <c r="E32" s="72"/>
      <c r="F32" s="52">
        <f>SUM(F23:F31)</f>
        <v>50517496.542999998</v>
      </c>
    </row>
    <row r="33" spans="1:6" ht="27.75" thickTop="1" thickBot="1" x14ac:dyDescent="0.6">
      <c r="A33" s="68" t="s">
        <v>95</v>
      </c>
      <c r="B33" s="69"/>
      <c r="C33" s="69"/>
      <c r="D33" s="60"/>
      <c r="E33" s="73" t="s">
        <v>122</v>
      </c>
      <c r="F33" s="62">
        <f>F32-F21</f>
        <v>8661265.4530000016</v>
      </c>
    </row>
    <row r="34" spans="1:6" ht="27" thickTop="1" x14ac:dyDescent="0.55000000000000004">
      <c r="A34" s="131"/>
      <c r="B34" s="131"/>
      <c r="C34" s="131"/>
      <c r="D34" s="131"/>
      <c r="E34" s="131"/>
      <c r="F34" s="131"/>
    </row>
    <row r="35" spans="1:6" ht="36" x14ac:dyDescent="0.55000000000000004">
      <c r="A35" s="130"/>
      <c r="B35" s="130"/>
      <c r="C35" s="130"/>
      <c r="D35" s="130"/>
      <c r="E35" s="130"/>
      <c r="F35" s="130"/>
    </row>
    <row r="36" spans="1:6" ht="36" x14ac:dyDescent="0.75">
      <c r="A36" s="100" t="s">
        <v>125</v>
      </c>
      <c r="B36" s="125" t="s">
        <v>144</v>
      </c>
      <c r="C36" s="125"/>
      <c r="D36" s="125"/>
      <c r="E36" s="125" t="s">
        <v>146</v>
      </c>
      <c r="F36" s="125"/>
    </row>
    <row r="37" spans="1:6" ht="36" x14ac:dyDescent="0.75">
      <c r="A37" s="100" t="s">
        <v>126</v>
      </c>
      <c r="B37" s="125" t="s">
        <v>145</v>
      </c>
      <c r="C37" s="125"/>
      <c r="D37" s="125"/>
      <c r="E37" s="125" t="s">
        <v>147</v>
      </c>
      <c r="F37" s="125"/>
    </row>
    <row r="38" spans="1:6" ht="36" x14ac:dyDescent="0.75">
      <c r="A38" s="97"/>
      <c r="B38" s="125" t="s">
        <v>108</v>
      </c>
      <c r="C38" s="125"/>
      <c r="D38" s="125"/>
      <c r="E38" s="96"/>
      <c r="F38" s="97"/>
    </row>
  </sheetData>
  <mergeCells count="14">
    <mergeCell ref="E36:F36"/>
    <mergeCell ref="E37:F37"/>
    <mergeCell ref="B36:D36"/>
    <mergeCell ref="B37:D37"/>
    <mergeCell ref="B38:D38"/>
    <mergeCell ref="F6:F8"/>
    <mergeCell ref="A35:F35"/>
    <mergeCell ref="A34:F34"/>
    <mergeCell ref="A1:F1"/>
    <mergeCell ref="A2:F2"/>
    <mergeCell ref="A4:F4"/>
    <mergeCell ref="A5:A8"/>
    <mergeCell ref="A3:F3"/>
    <mergeCell ref="B5:F5"/>
  </mergeCells>
  <pageMargins left="0.98281249999999998" right="0.25" top="0.74375000000000002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="70" zoomScaleNormal="70" zoomScaleSheetLayoutView="50" zoomScalePageLayoutView="70" workbookViewId="0">
      <selection activeCell="E13" sqref="E13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2.5" style="7" customWidth="1"/>
    <col min="6" max="6" width="21.625" style="7" customWidth="1"/>
    <col min="7" max="7" width="20.875" style="7" customWidth="1"/>
    <col min="8" max="16384" width="9" style="1"/>
  </cols>
  <sheetData>
    <row r="1" spans="1:8" ht="26.25" x14ac:dyDescent="0.55000000000000004">
      <c r="A1" s="103" t="s">
        <v>0</v>
      </c>
      <c r="B1" s="103"/>
      <c r="C1" s="103"/>
      <c r="D1" s="103"/>
      <c r="E1" s="103"/>
      <c r="F1" s="103"/>
      <c r="G1" s="103"/>
    </row>
    <row r="2" spans="1:8" ht="26.25" x14ac:dyDescent="0.55000000000000004">
      <c r="A2" s="103" t="s">
        <v>37</v>
      </c>
      <c r="B2" s="103"/>
      <c r="C2" s="103"/>
      <c r="D2" s="103"/>
      <c r="E2" s="103"/>
      <c r="F2" s="103"/>
      <c r="G2" s="103"/>
    </row>
    <row r="3" spans="1:8" ht="26.25" x14ac:dyDescent="0.55000000000000004">
      <c r="A3" s="103" t="s">
        <v>171</v>
      </c>
      <c r="B3" s="103"/>
      <c r="C3" s="103"/>
      <c r="D3" s="103"/>
      <c r="E3" s="103"/>
      <c r="F3" s="103"/>
      <c r="G3" s="103"/>
      <c r="H3" s="103"/>
    </row>
    <row r="4" spans="1:8" s="15" customFormat="1" ht="14.25" x14ac:dyDescent="0.3">
      <c r="D4" s="18"/>
      <c r="E4" s="18"/>
      <c r="F4" s="18"/>
      <c r="G4" s="18"/>
    </row>
    <row r="5" spans="1:8" x14ac:dyDescent="0.5">
      <c r="A5" s="38" t="s">
        <v>13</v>
      </c>
      <c r="B5" s="38" t="s">
        <v>4</v>
      </c>
      <c r="C5" s="38" t="s">
        <v>2</v>
      </c>
      <c r="D5" s="25" t="s">
        <v>14</v>
      </c>
      <c r="E5" s="107" t="s">
        <v>172</v>
      </c>
      <c r="F5" s="108"/>
      <c r="G5" s="25" t="s">
        <v>1</v>
      </c>
    </row>
    <row r="6" spans="1:8" x14ac:dyDescent="0.5">
      <c r="A6" s="98"/>
      <c r="B6" s="98"/>
      <c r="C6" s="98"/>
      <c r="D6" s="28"/>
      <c r="E6" s="25" t="s">
        <v>102</v>
      </c>
      <c r="F6" s="25" t="s">
        <v>31</v>
      </c>
      <c r="G6" s="28"/>
    </row>
    <row r="7" spans="1:8" x14ac:dyDescent="0.5">
      <c r="A7" s="39"/>
      <c r="B7" s="39"/>
      <c r="C7" s="39"/>
      <c r="D7" s="26"/>
      <c r="E7" s="26" t="s">
        <v>103</v>
      </c>
      <c r="F7" s="26"/>
      <c r="G7" s="26"/>
    </row>
    <row r="8" spans="1:8" s="2" customFormat="1" x14ac:dyDescent="0.5">
      <c r="A8" s="21" t="s">
        <v>20</v>
      </c>
      <c r="B8" s="21" t="s">
        <v>22</v>
      </c>
      <c r="C8" s="12" t="s">
        <v>5</v>
      </c>
      <c r="D8" s="20">
        <v>0</v>
      </c>
      <c r="E8" s="20">
        <v>0</v>
      </c>
      <c r="F8" s="20">
        <v>0</v>
      </c>
      <c r="G8" s="20">
        <f t="shared" ref="G8:G17" si="0">SUM(F8:F8)</f>
        <v>0</v>
      </c>
    </row>
    <row r="9" spans="1:8" x14ac:dyDescent="0.5">
      <c r="A9" s="8"/>
      <c r="B9" s="21" t="s">
        <v>21</v>
      </c>
      <c r="C9" s="21"/>
      <c r="D9" s="22">
        <v>0</v>
      </c>
      <c r="E9" s="22">
        <v>0</v>
      </c>
      <c r="F9" s="9">
        <v>0</v>
      </c>
      <c r="G9" s="9">
        <f t="shared" si="0"/>
        <v>0</v>
      </c>
    </row>
    <row r="10" spans="1:8" x14ac:dyDescent="0.5">
      <c r="A10" s="8" t="s">
        <v>23</v>
      </c>
      <c r="B10" s="21" t="s">
        <v>11</v>
      </c>
      <c r="C10" s="21"/>
      <c r="D10" s="22">
        <f>100000</f>
        <v>100000</v>
      </c>
      <c r="E10" s="22">
        <v>0</v>
      </c>
      <c r="F10" s="9">
        <f>93600</f>
        <v>93600</v>
      </c>
      <c r="G10" s="20">
        <f t="shared" si="0"/>
        <v>93600</v>
      </c>
    </row>
    <row r="11" spans="1:8" x14ac:dyDescent="0.5">
      <c r="A11" s="8"/>
      <c r="B11" s="21" t="s">
        <v>6</v>
      </c>
      <c r="C11" s="21"/>
      <c r="D11" s="22">
        <f>20000+250000+30000</f>
        <v>300000</v>
      </c>
      <c r="E11" s="22">
        <v>0</v>
      </c>
      <c r="F11" s="9">
        <f>7000</f>
        <v>7000</v>
      </c>
      <c r="G11" s="9">
        <f t="shared" si="0"/>
        <v>7000</v>
      </c>
    </row>
    <row r="12" spans="1:8" x14ac:dyDescent="0.5">
      <c r="A12" s="8"/>
      <c r="B12" s="21" t="s">
        <v>9</v>
      </c>
      <c r="C12" s="21"/>
      <c r="D12" s="22">
        <f>1400+10000+20000+5000</f>
        <v>36400</v>
      </c>
      <c r="E12" s="22">
        <v>0</v>
      </c>
      <c r="F12" s="9">
        <f>1749.5+432</f>
        <v>2181.5</v>
      </c>
      <c r="G12" s="20">
        <f t="shared" si="0"/>
        <v>2181.5</v>
      </c>
    </row>
    <row r="13" spans="1:8" x14ac:dyDescent="0.5">
      <c r="A13" s="8"/>
      <c r="B13" s="21" t="s">
        <v>24</v>
      </c>
      <c r="C13" s="21"/>
      <c r="D13" s="22">
        <v>0</v>
      </c>
      <c r="E13" s="22">
        <v>0</v>
      </c>
      <c r="F13" s="9">
        <v>0</v>
      </c>
      <c r="G13" s="9">
        <f t="shared" si="0"/>
        <v>0</v>
      </c>
    </row>
    <row r="14" spans="1:8" x14ac:dyDescent="0.5">
      <c r="A14" s="8" t="s">
        <v>25</v>
      </c>
      <c r="B14" s="21" t="s">
        <v>26</v>
      </c>
      <c r="C14" s="21"/>
      <c r="D14" s="22">
        <v>0</v>
      </c>
      <c r="E14" s="22">
        <v>0</v>
      </c>
      <c r="F14" s="9">
        <v>0</v>
      </c>
      <c r="G14" s="20">
        <f t="shared" si="0"/>
        <v>0</v>
      </c>
    </row>
    <row r="15" spans="1:8" x14ac:dyDescent="0.5">
      <c r="A15" s="8"/>
      <c r="B15" s="21" t="s">
        <v>27</v>
      </c>
      <c r="C15" s="21"/>
      <c r="D15" s="22">
        <v>0</v>
      </c>
      <c r="E15" s="22">
        <v>0</v>
      </c>
      <c r="F15" s="9">
        <v>0</v>
      </c>
      <c r="G15" s="9">
        <f t="shared" si="0"/>
        <v>0</v>
      </c>
    </row>
    <row r="16" spans="1:8" x14ac:dyDescent="0.5">
      <c r="A16" s="8" t="s">
        <v>28</v>
      </c>
      <c r="B16" s="21" t="s">
        <v>7</v>
      </c>
      <c r="C16" s="21"/>
      <c r="D16" s="22">
        <v>0</v>
      </c>
      <c r="E16" s="22">
        <v>0</v>
      </c>
      <c r="F16" s="9">
        <v>0</v>
      </c>
      <c r="G16" s="20">
        <f t="shared" si="0"/>
        <v>0</v>
      </c>
    </row>
    <row r="17" spans="1:7" x14ac:dyDescent="0.5">
      <c r="A17" s="8" t="s">
        <v>29</v>
      </c>
      <c r="B17" s="21" t="s">
        <v>30</v>
      </c>
      <c r="C17" s="21"/>
      <c r="D17" s="22">
        <v>0</v>
      </c>
      <c r="E17" s="22">
        <v>0</v>
      </c>
      <c r="F17" s="9">
        <v>0</v>
      </c>
      <c r="G17" s="9">
        <f t="shared" si="0"/>
        <v>0</v>
      </c>
    </row>
    <row r="18" spans="1:7" x14ac:dyDescent="0.5">
      <c r="A18" s="104" t="s">
        <v>1</v>
      </c>
      <c r="B18" s="104"/>
      <c r="C18" s="104"/>
      <c r="D18" s="23">
        <f>SUM(D8:D17)</f>
        <v>436400</v>
      </c>
      <c r="E18" s="23">
        <v>0</v>
      </c>
      <c r="F18" s="13">
        <f>SUM(F8:F17)</f>
        <v>102781.5</v>
      </c>
      <c r="G18" s="13">
        <f>SUM(G8:G17)</f>
        <v>102781.5</v>
      </c>
    </row>
    <row r="19" spans="1:7" x14ac:dyDescent="0.5">
      <c r="A19" s="14"/>
      <c r="B19" s="14"/>
      <c r="C19" s="14"/>
      <c r="D19" s="35"/>
      <c r="E19" s="35"/>
      <c r="F19" s="5"/>
      <c r="G19" s="5"/>
    </row>
    <row r="20" spans="1:7" x14ac:dyDescent="0.5">
      <c r="C20" s="19"/>
      <c r="D20" s="24"/>
      <c r="E20" s="24"/>
    </row>
    <row r="21" spans="1:7" x14ac:dyDescent="0.5">
      <c r="A21" s="101"/>
      <c r="B21" s="102"/>
      <c r="C21" s="102"/>
      <c r="D21" s="102"/>
      <c r="E21" s="102"/>
      <c r="F21" s="102"/>
      <c r="G21" s="102"/>
    </row>
    <row r="22" spans="1:7" x14ac:dyDescent="0.5">
      <c r="A22" s="101"/>
      <c r="B22" s="102"/>
      <c r="C22" s="102"/>
      <c r="D22" s="102"/>
      <c r="E22" s="102"/>
      <c r="F22" s="102"/>
      <c r="G22" s="102"/>
    </row>
    <row r="23" spans="1:7" x14ac:dyDescent="0.5">
      <c r="B23" s="40"/>
      <c r="C23" s="40"/>
      <c r="D23" s="40"/>
      <c r="E23" s="40"/>
      <c r="F23" s="40"/>
    </row>
  </sheetData>
  <mergeCells count="7">
    <mergeCell ref="A22:G22"/>
    <mergeCell ref="A1:G1"/>
    <mergeCell ref="A2:G2"/>
    <mergeCell ref="A18:C18"/>
    <mergeCell ref="A21:G21"/>
    <mergeCell ref="A3:H3"/>
    <mergeCell ref="E5:F5"/>
  </mergeCells>
  <pageMargins left="0.9375" right="0.25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E15" sqref="E15"/>
    </sheetView>
  </sheetViews>
  <sheetFormatPr defaultRowHeight="23.25" x14ac:dyDescent="0.5"/>
  <cols>
    <col min="1" max="1" width="10.875" style="1" customWidth="1"/>
    <col min="2" max="2" width="18" style="1" customWidth="1"/>
    <col min="3" max="3" width="11.875" style="7" customWidth="1"/>
    <col min="4" max="4" width="10.25" style="7" bestFit="1" customWidth="1"/>
    <col min="5" max="5" width="11.375" style="7" bestFit="1" customWidth="1"/>
    <col min="6" max="6" width="10.25" style="7" bestFit="1" customWidth="1"/>
    <col min="7" max="7" width="9" style="7"/>
    <col min="8" max="8" width="13.875" style="7" customWidth="1"/>
    <col min="9" max="9" width="10.125" style="7" bestFit="1" customWidth="1"/>
    <col min="10" max="10" width="10.625" style="7" bestFit="1" customWidth="1"/>
    <col min="11" max="11" width="10.125" style="7" bestFit="1" customWidth="1"/>
    <col min="12" max="12" width="10.75" style="7" customWidth="1"/>
    <col min="13" max="13" width="9.625" style="7" customWidth="1"/>
    <col min="14" max="14" width="13.125" style="7" customWidth="1"/>
    <col min="15" max="16384" width="9" style="1"/>
  </cols>
  <sheetData>
    <row r="1" spans="1:14" x14ac:dyDescent="0.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5">
      <c r="A2" s="118" t="s">
        <v>104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5">
      <c r="A3" s="118" t="s">
        <v>129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5">
      <c r="A4" s="109" t="s">
        <v>13</v>
      </c>
      <c r="B4" s="109" t="s">
        <v>4</v>
      </c>
      <c r="C4" s="25" t="s">
        <v>64</v>
      </c>
      <c r="D4" s="25" t="s">
        <v>66</v>
      </c>
      <c r="E4" s="109" t="s">
        <v>8</v>
      </c>
      <c r="F4" s="109" t="s">
        <v>99</v>
      </c>
      <c r="G4" s="25"/>
      <c r="H4" s="25"/>
      <c r="I4" s="25" t="s">
        <v>73</v>
      </c>
      <c r="J4" s="25" t="s">
        <v>76</v>
      </c>
      <c r="K4" s="109" t="s">
        <v>80</v>
      </c>
      <c r="L4" s="109" t="s">
        <v>81</v>
      </c>
      <c r="M4" s="109" t="s">
        <v>10</v>
      </c>
      <c r="N4" s="109" t="s">
        <v>1</v>
      </c>
    </row>
    <row r="5" spans="1:14" x14ac:dyDescent="0.5">
      <c r="A5" s="122"/>
      <c r="B5" s="122"/>
      <c r="C5" s="28" t="s">
        <v>3</v>
      </c>
      <c r="D5" s="28" t="s">
        <v>67</v>
      </c>
      <c r="E5" s="122"/>
      <c r="F5" s="122"/>
      <c r="G5" s="28"/>
      <c r="H5" s="28"/>
      <c r="I5" s="28" t="s">
        <v>67</v>
      </c>
      <c r="J5" s="28" t="s">
        <v>77</v>
      </c>
      <c r="K5" s="122"/>
      <c r="L5" s="122"/>
      <c r="M5" s="122"/>
      <c r="N5" s="122"/>
    </row>
    <row r="6" spans="1:14" x14ac:dyDescent="0.5">
      <c r="A6" s="122"/>
      <c r="B6" s="122"/>
      <c r="C6" s="28" t="s">
        <v>65</v>
      </c>
      <c r="D6" s="28" t="s">
        <v>68</v>
      </c>
      <c r="E6" s="122"/>
      <c r="F6" s="122"/>
      <c r="G6" s="28" t="s">
        <v>69</v>
      </c>
      <c r="H6" s="28" t="s">
        <v>71</v>
      </c>
      <c r="I6" s="28" t="s">
        <v>74</v>
      </c>
      <c r="J6" s="28" t="s">
        <v>78</v>
      </c>
      <c r="K6" s="122"/>
      <c r="L6" s="122"/>
      <c r="M6" s="122"/>
      <c r="N6" s="122"/>
    </row>
    <row r="7" spans="1:14" x14ac:dyDescent="0.5">
      <c r="A7" s="122"/>
      <c r="B7" s="122"/>
      <c r="C7" s="28"/>
      <c r="D7" s="28"/>
      <c r="E7" s="122"/>
      <c r="F7" s="122"/>
      <c r="G7" s="28" t="s">
        <v>70</v>
      </c>
      <c r="H7" s="28" t="s">
        <v>72</v>
      </c>
      <c r="I7" s="28" t="s">
        <v>75</v>
      </c>
      <c r="J7" s="28" t="s">
        <v>79</v>
      </c>
      <c r="K7" s="122"/>
      <c r="L7" s="122"/>
      <c r="M7" s="122"/>
      <c r="N7" s="122"/>
    </row>
    <row r="8" spans="1:14" x14ac:dyDescent="0.5">
      <c r="A8" s="111"/>
      <c r="B8" s="111"/>
      <c r="C8" s="26"/>
      <c r="D8" s="26"/>
      <c r="E8" s="111"/>
      <c r="F8" s="111"/>
      <c r="G8" s="26"/>
      <c r="H8" s="26"/>
      <c r="I8" s="26"/>
      <c r="J8" s="26" t="s">
        <v>53</v>
      </c>
      <c r="K8" s="111"/>
      <c r="L8" s="111"/>
      <c r="M8" s="111"/>
      <c r="N8" s="111"/>
    </row>
    <row r="9" spans="1:14" x14ac:dyDescent="0.5">
      <c r="A9" s="33" t="s">
        <v>83</v>
      </c>
      <c r="B9" s="37"/>
      <c r="C9" s="28"/>
      <c r="D9" s="28"/>
      <c r="E9" s="37"/>
      <c r="F9" s="37"/>
      <c r="G9" s="28"/>
      <c r="H9" s="28"/>
      <c r="I9" s="28"/>
      <c r="J9" s="28"/>
      <c r="K9" s="37"/>
      <c r="L9" s="37"/>
      <c r="M9" s="37"/>
      <c r="N9" s="37"/>
    </row>
    <row r="10" spans="1:14" x14ac:dyDescent="0.5">
      <c r="A10" s="27" t="s">
        <v>20</v>
      </c>
      <c r="B10" s="27" t="s">
        <v>22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SUM(C10:M10)</f>
        <v>0</v>
      </c>
    </row>
    <row r="11" spans="1:14" x14ac:dyDescent="0.5">
      <c r="A11" s="3"/>
      <c r="B11" s="27" t="s">
        <v>21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SUM(C11:M11)</f>
        <v>0</v>
      </c>
    </row>
    <row r="12" spans="1:14" x14ac:dyDescent="0.5">
      <c r="A12" s="3" t="s">
        <v>23</v>
      </c>
      <c r="B12" s="27" t="s">
        <v>11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ref="N12:N20" si="0">SUM(C12:M12)</f>
        <v>0</v>
      </c>
    </row>
    <row r="13" spans="1:14" x14ac:dyDescent="0.5">
      <c r="A13" s="3"/>
      <c r="B13" s="27" t="s">
        <v>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0"/>
        <v>0</v>
      </c>
    </row>
    <row r="14" spans="1:14" x14ac:dyDescent="0.5">
      <c r="A14" s="3"/>
      <c r="B14" s="27" t="s">
        <v>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</row>
    <row r="15" spans="1:14" x14ac:dyDescent="0.5">
      <c r="A15" s="3"/>
      <c r="B15" s="27" t="s">
        <v>24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</row>
    <row r="16" spans="1:14" x14ac:dyDescent="0.5">
      <c r="A16" s="3" t="s">
        <v>25</v>
      </c>
      <c r="B16" s="27" t="s">
        <v>26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0</v>
      </c>
    </row>
    <row r="17" spans="1:14" x14ac:dyDescent="0.5">
      <c r="A17" s="3"/>
      <c r="B17" s="27" t="s">
        <v>27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4449494.4000000004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4449494.4000000004</v>
      </c>
    </row>
    <row r="18" spans="1:14" x14ac:dyDescent="0.5">
      <c r="A18" s="3" t="s">
        <v>28</v>
      </c>
      <c r="B18" s="27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</row>
    <row r="19" spans="1:14" x14ac:dyDescent="0.5">
      <c r="A19" s="3" t="s">
        <v>29</v>
      </c>
      <c r="B19" s="27" t="s">
        <v>30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</row>
    <row r="20" spans="1:14" x14ac:dyDescent="0.5">
      <c r="A20" s="16" t="s">
        <v>10</v>
      </c>
      <c r="B20" s="16" t="s">
        <v>10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4">
        <f t="shared" si="0"/>
        <v>0</v>
      </c>
    </row>
    <row r="21" spans="1:14" ht="24" thickBot="1" x14ac:dyDescent="0.55000000000000004">
      <c r="A21" s="119" t="s">
        <v>1</v>
      </c>
      <c r="B21" s="120"/>
      <c r="C21" s="29">
        <f>SUM(C10:C20)</f>
        <v>0</v>
      </c>
      <c r="D21" s="29">
        <f t="shared" ref="D21:M21" si="1">SUM(D10:D20)</f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  <c r="H21" s="29">
        <f t="shared" si="1"/>
        <v>4449494.4000000004</v>
      </c>
      <c r="I21" s="29">
        <f t="shared" si="1"/>
        <v>0</v>
      </c>
      <c r="J21" s="29">
        <f t="shared" si="1"/>
        <v>0</v>
      </c>
      <c r="K21" s="29">
        <f t="shared" si="1"/>
        <v>0</v>
      </c>
      <c r="L21" s="29">
        <f t="shared" si="1"/>
        <v>0</v>
      </c>
      <c r="M21" s="29">
        <f t="shared" si="1"/>
        <v>0</v>
      </c>
      <c r="N21" s="29">
        <f>SUM(N10:N20)</f>
        <v>4449494.4000000004</v>
      </c>
    </row>
    <row r="22" spans="1:14" ht="24" thickTop="1" x14ac:dyDescent="0.5"/>
    <row r="24" spans="1:14" ht="24.75" x14ac:dyDescent="0.5">
      <c r="A24" s="116" t="s">
        <v>120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ht="24.75" x14ac:dyDescent="0.5">
      <c r="A25" s="116" t="s">
        <v>112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</row>
    <row r="26" spans="1:14" ht="24.75" x14ac:dyDescent="0.5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24.75" x14ac:dyDescent="0.5">
      <c r="A27" s="31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</sheetData>
  <mergeCells count="15">
    <mergeCell ref="N4:N8"/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A25:N25"/>
  </mergeCells>
  <pageMargins left="0.62541666666666662" right="0.25" top="0.75" bottom="0.75" header="0.3" footer="0.3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4.2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WhiteSpace="0" zoomScale="80" zoomScaleNormal="80" zoomScalePageLayoutView="80" workbookViewId="0">
      <selection activeCell="A21" sqref="A21:H21"/>
    </sheetView>
  </sheetViews>
  <sheetFormatPr defaultRowHeight="23.25" x14ac:dyDescent="0.5"/>
  <cols>
    <col min="1" max="1" width="12.375" style="1" customWidth="1"/>
    <col min="2" max="2" width="17.875" style="1" customWidth="1"/>
    <col min="3" max="3" width="17.625" style="1" customWidth="1"/>
    <col min="4" max="4" width="16.125" style="7" customWidth="1"/>
    <col min="5" max="5" width="17.125" style="7" customWidth="1"/>
    <col min="6" max="7" width="17.625" style="7" customWidth="1"/>
    <col min="8" max="8" width="17" style="7" customWidth="1"/>
    <col min="9" max="16384" width="9" style="1"/>
  </cols>
  <sheetData>
    <row r="1" spans="1:8" ht="26.25" x14ac:dyDescent="0.55000000000000004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26.25" x14ac:dyDescent="0.55000000000000004">
      <c r="A2" s="103" t="s">
        <v>38</v>
      </c>
      <c r="B2" s="103"/>
      <c r="C2" s="103"/>
      <c r="D2" s="103"/>
      <c r="E2" s="103"/>
      <c r="F2" s="103"/>
      <c r="G2" s="103"/>
      <c r="H2" s="103"/>
    </row>
    <row r="3" spans="1:8" ht="26.25" x14ac:dyDescent="0.55000000000000004">
      <c r="A3" s="103" t="s">
        <v>173</v>
      </c>
      <c r="B3" s="103"/>
      <c r="C3" s="103"/>
      <c r="D3" s="103"/>
      <c r="E3" s="103"/>
      <c r="F3" s="103"/>
      <c r="G3" s="103"/>
      <c r="H3" s="103"/>
    </row>
    <row r="4" spans="1:8" s="15" customFormat="1" ht="14.25" x14ac:dyDescent="0.3">
      <c r="D4" s="18"/>
      <c r="E4" s="18"/>
      <c r="F4" s="18"/>
      <c r="G4" s="18"/>
      <c r="H4" s="18"/>
    </row>
    <row r="5" spans="1:8" x14ac:dyDescent="0.5">
      <c r="A5" s="109" t="s">
        <v>13</v>
      </c>
      <c r="B5" s="109" t="s">
        <v>4</v>
      </c>
      <c r="C5" s="109" t="s">
        <v>2</v>
      </c>
      <c r="D5" s="109" t="s">
        <v>14</v>
      </c>
      <c r="E5" s="107" t="s">
        <v>172</v>
      </c>
      <c r="F5" s="112"/>
      <c r="G5" s="108"/>
      <c r="H5" s="25" t="s">
        <v>1</v>
      </c>
    </row>
    <row r="6" spans="1:8" x14ac:dyDescent="0.5">
      <c r="A6" s="110"/>
      <c r="B6" s="110"/>
      <c r="C6" s="110"/>
      <c r="D6" s="110"/>
      <c r="E6" s="25" t="s">
        <v>18</v>
      </c>
      <c r="F6" s="25" t="s">
        <v>33</v>
      </c>
      <c r="G6" s="25" t="s">
        <v>35</v>
      </c>
      <c r="H6" s="28"/>
    </row>
    <row r="7" spans="1:8" x14ac:dyDescent="0.5">
      <c r="A7" s="111"/>
      <c r="B7" s="111"/>
      <c r="C7" s="111"/>
      <c r="D7" s="111"/>
      <c r="E7" s="26" t="s">
        <v>32</v>
      </c>
      <c r="F7" s="26" t="s">
        <v>34</v>
      </c>
      <c r="G7" s="26" t="s">
        <v>36</v>
      </c>
      <c r="H7" s="26"/>
    </row>
    <row r="8" spans="1:8" s="2" customFormat="1" x14ac:dyDescent="0.5">
      <c r="A8" s="21" t="s">
        <v>20</v>
      </c>
      <c r="B8" s="21" t="s">
        <v>22</v>
      </c>
      <c r="C8" s="12" t="s">
        <v>15</v>
      </c>
      <c r="D8" s="20">
        <v>0</v>
      </c>
      <c r="E8" s="20">
        <v>0</v>
      </c>
      <c r="F8" s="20">
        <v>0</v>
      </c>
      <c r="G8" s="20">
        <v>0</v>
      </c>
      <c r="H8" s="20">
        <f>SUM(E8:F8)</f>
        <v>0</v>
      </c>
    </row>
    <row r="9" spans="1:8" x14ac:dyDescent="0.5">
      <c r="A9" s="8"/>
      <c r="B9" s="21" t="s">
        <v>21</v>
      </c>
      <c r="C9" s="21"/>
      <c r="D9" s="22">
        <f>286000+20000+400000+24000</f>
        <v>730000</v>
      </c>
      <c r="E9" s="9">
        <f>198000+281970+13185</f>
        <v>493155</v>
      </c>
      <c r="F9" s="9">
        <v>0</v>
      </c>
      <c r="G9" s="9">
        <v>0</v>
      </c>
      <c r="H9" s="9">
        <f>SUM(E8:G9)</f>
        <v>493155</v>
      </c>
    </row>
    <row r="10" spans="1:8" x14ac:dyDescent="0.5">
      <c r="A10" s="8" t="s">
        <v>23</v>
      </c>
      <c r="B10" s="21" t="s">
        <v>11</v>
      </c>
      <c r="C10" s="21"/>
      <c r="D10" s="22">
        <f>80000+10000+25000</f>
        <v>115000</v>
      </c>
      <c r="E10" s="9">
        <f>12500</f>
        <v>12500</v>
      </c>
      <c r="F10" s="9">
        <v>0</v>
      </c>
      <c r="G10" s="9">
        <v>0</v>
      </c>
      <c r="H10" s="9">
        <f>SUM(E10:G10)</f>
        <v>12500</v>
      </c>
    </row>
    <row r="11" spans="1:8" x14ac:dyDescent="0.5">
      <c r="A11" s="8"/>
      <c r="B11" s="21" t="s">
        <v>6</v>
      </c>
      <c r="C11" s="21"/>
      <c r="D11" s="22">
        <f>50000+20000+10000+20000+463800</f>
        <v>563800</v>
      </c>
      <c r="E11" s="9">
        <f>1160+28632+11450</f>
        <v>41242</v>
      </c>
      <c r="F11" s="9">
        <v>463800</v>
      </c>
      <c r="G11" s="9">
        <v>0</v>
      </c>
      <c r="H11" s="9">
        <f>SUM(E11:G11)</f>
        <v>505042</v>
      </c>
    </row>
    <row r="12" spans="1:8" x14ac:dyDescent="0.5">
      <c r="A12" s="8"/>
      <c r="B12" s="21" t="s">
        <v>9</v>
      </c>
      <c r="C12" s="21"/>
      <c r="D12" s="22">
        <f>15000+5000+15000+1094150</f>
        <v>1129150</v>
      </c>
      <c r="E12" s="9">
        <f>10330</f>
        <v>10330</v>
      </c>
      <c r="F12" s="9">
        <v>516755</v>
      </c>
      <c r="G12" s="9">
        <v>0</v>
      </c>
      <c r="H12" s="9">
        <f>SUM(E12:G12)</f>
        <v>527085</v>
      </c>
    </row>
    <row r="13" spans="1:8" x14ac:dyDescent="0.5">
      <c r="A13" s="8"/>
      <c r="B13" s="21" t="s">
        <v>24</v>
      </c>
      <c r="C13" s="21"/>
      <c r="D13" s="22">
        <f>10000+30000</f>
        <v>40000</v>
      </c>
      <c r="E13" s="9">
        <f>4123.64+6833.57+1498</f>
        <v>12455.21</v>
      </c>
      <c r="F13" s="9">
        <v>0</v>
      </c>
      <c r="G13" s="9">
        <v>0</v>
      </c>
      <c r="H13" s="9">
        <f>SUM(E13:G13)</f>
        <v>12455.21</v>
      </c>
    </row>
    <row r="14" spans="1:8" x14ac:dyDescent="0.5">
      <c r="A14" s="8" t="s">
        <v>25</v>
      </c>
      <c r="B14" s="21" t="s">
        <v>26</v>
      </c>
      <c r="C14" s="21"/>
      <c r="D14" s="22">
        <v>0</v>
      </c>
      <c r="E14" s="9">
        <v>0</v>
      </c>
      <c r="F14" s="9">
        <v>0</v>
      </c>
      <c r="G14" s="9">
        <v>0</v>
      </c>
      <c r="H14" s="9">
        <f t="shared" ref="H14" si="0">SUM(E14:G14)</f>
        <v>0</v>
      </c>
    </row>
    <row r="15" spans="1:8" x14ac:dyDescent="0.5">
      <c r="A15" s="8"/>
      <c r="B15" s="21" t="s">
        <v>27</v>
      </c>
      <c r="C15" s="21"/>
      <c r="D15" s="22">
        <v>0</v>
      </c>
      <c r="E15" s="9">
        <v>0</v>
      </c>
      <c r="F15" s="9">
        <v>0</v>
      </c>
      <c r="G15" s="9">
        <v>0</v>
      </c>
      <c r="H15" s="9"/>
    </row>
    <row r="16" spans="1:8" x14ac:dyDescent="0.5">
      <c r="A16" s="8" t="s">
        <v>28</v>
      </c>
      <c r="B16" s="21" t="s">
        <v>7</v>
      </c>
      <c r="C16" s="21"/>
      <c r="D16" s="22">
        <v>0</v>
      </c>
      <c r="E16" s="9">
        <v>0</v>
      </c>
      <c r="F16" s="9">
        <v>0</v>
      </c>
      <c r="G16" s="9">
        <v>0</v>
      </c>
      <c r="H16" s="9">
        <f t="shared" ref="H16" si="1">SUM(E16:G16)</f>
        <v>0</v>
      </c>
    </row>
    <row r="17" spans="1:8" x14ac:dyDescent="0.5">
      <c r="A17" s="8" t="s">
        <v>29</v>
      </c>
      <c r="B17" s="21" t="s">
        <v>30</v>
      </c>
      <c r="C17" s="21"/>
      <c r="D17" s="22">
        <f>504000+944000+596000</f>
        <v>2044000</v>
      </c>
      <c r="E17" s="9">
        <v>0</v>
      </c>
      <c r="F17" s="9">
        <f>378000+708000+447000</f>
        <v>1533000</v>
      </c>
      <c r="G17" s="9">
        <v>0</v>
      </c>
      <c r="H17" s="9">
        <f>SUM(E17:G17)</f>
        <v>1533000</v>
      </c>
    </row>
    <row r="18" spans="1:8" x14ac:dyDescent="0.5">
      <c r="A18" s="104" t="s">
        <v>1</v>
      </c>
      <c r="B18" s="104"/>
      <c r="C18" s="104"/>
      <c r="D18" s="23">
        <f>SUM(D8:D17)</f>
        <v>4621950</v>
      </c>
      <c r="E18" s="13">
        <f>SUM(E8:E17)</f>
        <v>569682.21</v>
      </c>
      <c r="F18" s="13">
        <f>SUM(F8:F17)</f>
        <v>2513555</v>
      </c>
      <c r="G18" s="13">
        <f>SUM(G8:G17)</f>
        <v>0</v>
      </c>
      <c r="H18" s="13">
        <f>SUM(H8:H17)</f>
        <v>3083237.21</v>
      </c>
    </row>
    <row r="19" spans="1:8" x14ac:dyDescent="0.5">
      <c r="C19" s="19"/>
      <c r="D19" s="24"/>
    </row>
    <row r="20" spans="1:8" x14ac:dyDescent="0.5">
      <c r="A20" s="101"/>
      <c r="B20" s="102"/>
      <c r="C20" s="102"/>
      <c r="D20" s="102"/>
      <c r="E20" s="102"/>
      <c r="F20" s="102"/>
      <c r="G20" s="102"/>
      <c r="H20" s="102"/>
    </row>
    <row r="21" spans="1:8" x14ac:dyDescent="0.5">
      <c r="A21" s="101"/>
      <c r="B21" s="102"/>
      <c r="C21" s="102"/>
      <c r="D21" s="102"/>
      <c r="E21" s="102"/>
      <c r="F21" s="102"/>
      <c r="G21" s="102"/>
      <c r="H21" s="102"/>
    </row>
  </sheetData>
  <mergeCells count="11">
    <mergeCell ref="A1:H1"/>
    <mergeCell ref="A2:H2"/>
    <mergeCell ref="A3:H3"/>
    <mergeCell ref="A18:C18"/>
    <mergeCell ref="A20:H20"/>
    <mergeCell ref="A21:H21"/>
    <mergeCell ref="A5:A7"/>
    <mergeCell ref="B5:B7"/>
    <mergeCell ref="C5:C7"/>
    <mergeCell ref="D5:D7"/>
    <mergeCell ref="E5:G5"/>
  </mergeCells>
  <pageMargins left="0.23622047244094491" right="0.23622047244094491" top="0.52083333333333337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zoomScale="80" zoomScaleNormal="90" zoomScalePageLayoutView="80" workbookViewId="0">
      <selection activeCell="E15" sqref="E15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1.625" style="7" customWidth="1"/>
    <col min="6" max="6" width="22.12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39</v>
      </c>
      <c r="B2" s="103"/>
      <c r="C2" s="103"/>
      <c r="D2" s="103"/>
      <c r="E2" s="103"/>
      <c r="F2" s="103"/>
    </row>
    <row r="3" spans="1:6" ht="26.25" x14ac:dyDescent="0.55000000000000004">
      <c r="A3" s="103" t="s">
        <v>173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38" t="s">
        <v>13</v>
      </c>
      <c r="B5" s="38" t="s">
        <v>4</v>
      </c>
      <c r="C5" s="38" t="s">
        <v>2</v>
      </c>
      <c r="D5" s="25" t="s">
        <v>14</v>
      </c>
      <c r="E5" s="25" t="s">
        <v>172</v>
      </c>
      <c r="F5" s="25" t="s">
        <v>1</v>
      </c>
    </row>
    <row r="6" spans="1:6" x14ac:dyDescent="0.5">
      <c r="A6" s="39"/>
      <c r="B6" s="39"/>
      <c r="C6" s="39"/>
      <c r="D6" s="26"/>
      <c r="E6" s="11" t="s">
        <v>40</v>
      </c>
      <c r="F6" s="26"/>
    </row>
    <row r="7" spans="1:6" s="2" customFormat="1" x14ac:dyDescent="0.5">
      <c r="A7" s="21" t="s">
        <v>20</v>
      </c>
      <c r="B7" s="21" t="s">
        <v>22</v>
      </c>
      <c r="C7" s="12" t="s">
        <v>15</v>
      </c>
      <c r="D7" s="20">
        <v>0</v>
      </c>
      <c r="E7" s="20">
        <v>0</v>
      </c>
      <c r="F7" s="20">
        <f t="shared" ref="F7:F16" si="0">SUM(E7:E7)</f>
        <v>0</v>
      </c>
    </row>
    <row r="8" spans="1:6" x14ac:dyDescent="0.5">
      <c r="A8" s="8"/>
      <c r="B8" s="21" t="s">
        <v>21</v>
      </c>
      <c r="C8" s="21"/>
      <c r="D8" s="22">
        <v>0</v>
      </c>
      <c r="E8" s="9">
        <v>0</v>
      </c>
      <c r="F8" s="9">
        <f t="shared" si="0"/>
        <v>0</v>
      </c>
    </row>
    <row r="9" spans="1:6" x14ac:dyDescent="0.5">
      <c r="A9" s="8" t="s">
        <v>23</v>
      </c>
      <c r="B9" s="21" t="s">
        <v>11</v>
      </c>
      <c r="C9" s="21"/>
      <c r="D9" s="22">
        <v>0</v>
      </c>
      <c r="E9" s="9">
        <v>0</v>
      </c>
      <c r="F9" s="20">
        <f t="shared" si="0"/>
        <v>0</v>
      </c>
    </row>
    <row r="10" spans="1:6" x14ac:dyDescent="0.5">
      <c r="A10" s="8"/>
      <c r="B10" s="21" t="s">
        <v>6</v>
      </c>
      <c r="C10" s="21"/>
      <c r="D10" s="22">
        <v>62000</v>
      </c>
      <c r="E10" s="9">
        <f>5970+1850</f>
        <v>7820</v>
      </c>
      <c r="F10" s="9">
        <f t="shared" si="0"/>
        <v>7820</v>
      </c>
    </row>
    <row r="11" spans="1:6" x14ac:dyDescent="0.5">
      <c r="A11" s="8"/>
      <c r="B11" s="21" t="s">
        <v>9</v>
      </c>
      <c r="C11" s="21"/>
      <c r="D11" s="22">
        <v>95000</v>
      </c>
      <c r="E11" s="9">
        <v>59700</v>
      </c>
      <c r="F11" s="20">
        <f t="shared" si="0"/>
        <v>59700</v>
      </c>
    </row>
    <row r="12" spans="1:6" x14ac:dyDescent="0.5">
      <c r="A12" s="8"/>
      <c r="B12" s="21" t="s">
        <v>24</v>
      </c>
      <c r="C12" s="21"/>
      <c r="D12" s="22">
        <v>0</v>
      </c>
      <c r="E12" s="9">
        <v>0</v>
      </c>
      <c r="F12" s="9">
        <f t="shared" si="0"/>
        <v>0</v>
      </c>
    </row>
    <row r="13" spans="1:6" x14ac:dyDescent="0.5">
      <c r="A13" s="8" t="s">
        <v>25</v>
      </c>
      <c r="B13" s="21" t="s">
        <v>26</v>
      </c>
      <c r="C13" s="21"/>
      <c r="D13" s="22">
        <v>0</v>
      </c>
      <c r="E13" s="9">
        <v>0</v>
      </c>
      <c r="F13" s="20">
        <f t="shared" si="0"/>
        <v>0</v>
      </c>
    </row>
    <row r="14" spans="1:6" x14ac:dyDescent="0.5">
      <c r="A14" s="8"/>
      <c r="B14" s="21" t="s">
        <v>27</v>
      </c>
      <c r="C14" s="21"/>
      <c r="D14" s="22">
        <v>0</v>
      </c>
      <c r="E14" s="9">
        <v>0</v>
      </c>
      <c r="F14" s="9">
        <f t="shared" si="0"/>
        <v>0</v>
      </c>
    </row>
    <row r="15" spans="1:6" x14ac:dyDescent="0.5">
      <c r="A15" s="8" t="s">
        <v>28</v>
      </c>
      <c r="B15" s="21" t="s">
        <v>7</v>
      </c>
      <c r="C15" s="21"/>
      <c r="D15" s="22">
        <v>0</v>
      </c>
      <c r="E15" s="9">
        <v>0</v>
      </c>
      <c r="F15" s="20">
        <f t="shared" si="0"/>
        <v>0</v>
      </c>
    </row>
    <row r="16" spans="1:6" x14ac:dyDescent="0.5">
      <c r="A16" s="8" t="s">
        <v>29</v>
      </c>
      <c r="B16" s="21" t="s">
        <v>30</v>
      </c>
      <c r="C16" s="21"/>
      <c r="D16" s="22">
        <v>0</v>
      </c>
      <c r="E16" s="9">
        <v>0</v>
      </c>
      <c r="F16" s="9">
        <f t="shared" si="0"/>
        <v>0</v>
      </c>
    </row>
    <row r="17" spans="1:6" x14ac:dyDescent="0.5">
      <c r="A17" s="104" t="s">
        <v>1</v>
      </c>
      <c r="B17" s="104"/>
      <c r="C17" s="104"/>
      <c r="D17" s="23">
        <f>SUM(D7:D16)</f>
        <v>157000</v>
      </c>
      <c r="E17" s="13">
        <f>SUM(E7:E16)</f>
        <v>67520</v>
      </c>
      <c r="F17" s="13">
        <f>SUM(F7:F16)</f>
        <v>67520</v>
      </c>
    </row>
    <row r="18" spans="1:6" x14ac:dyDescent="0.5">
      <c r="C18" s="19"/>
      <c r="D18" s="24"/>
    </row>
    <row r="19" spans="1:6" x14ac:dyDescent="0.5">
      <c r="A19" s="101"/>
      <c r="B19" s="102"/>
      <c r="C19" s="102"/>
      <c r="D19" s="102"/>
      <c r="E19" s="102"/>
      <c r="F19" s="102"/>
    </row>
    <row r="20" spans="1:6" x14ac:dyDescent="0.5">
      <c r="A20" s="101"/>
      <c r="B20" s="102"/>
      <c r="C20" s="102"/>
      <c r="D20" s="102"/>
      <c r="E20" s="102"/>
      <c r="F20" s="102"/>
    </row>
  </sheetData>
  <mergeCells count="6">
    <mergeCell ref="A20:F20"/>
    <mergeCell ref="A1:F1"/>
    <mergeCell ref="A2:F2"/>
    <mergeCell ref="A3:F3"/>
    <mergeCell ref="A17:C17"/>
    <mergeCell ref="A19:F19"/>
  </mergeCells>
  <pageMargins left="0.937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zoomScale="80" zoomScaleNormal="80" zoomScalePageLayoutView="80" workbookViewId="0">
      <selection activeCell="D9" sqref="D9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1.625" style="7" customWidth="1"/>
    <col min="6" max="6" width="20.87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41</v>
      </c>
      <c r="B2" s="103"/>
      <c r="C2" s="103"/>
      <c r="D2" s="103"/>
      <c r="E2" s="103"/>
      <c r="F2" s="103"/>
    </row>
    <row r="3" spans="1:6" ht="26.25" x14ac:dyDescent="0.55000000000000004">
      <c r="A3" s="103" t="s">
        <v>174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10" t="s">
        <v>13</v>
      </c>
      <c r="B5" s="10" t="s">
        <v>4</v>
      </c>
      <c r="C5" s="10" t="s">
        <v>2</v>
      </c>
      <c r="D5" s="11" t="s">
        <v>14</v>
      </c>
      <c r="E5" s="11" t="s">
        <v>42</v>
      </c>
      <c r="F5" s="11" t="s">
        <v>1</v>
      </c>
    </row>
    <row r="6" spans="1:6" s="2" customFormat="1" x14ac:dyDescent="0.5">
      <c r="A6" s="21" t="s">
        <v>20</v>
      </c>
      <c r="B6" s="21" t="s">
        <v>22</v>
      </c>
      <c r="C6" s="12" t="s">
        <v>5</v>
      </c>
      <c r="D6" s="20">
        <v>0</v>
      </c>
      <c r="E6" s="20">
        <v>0</v>
      </c>
      <c r="F6" s="20">
        <f t="shared" ref="F6:F15" si="0">SUM(E6:E6)</f>
        <v>0</v>
      </c>
    </row>
    <row r="7" spans="1:6" x14ac:dyDescent="0.5">
      <c r="A7" s="8"/>
      <c r="B7" s="21" t="s">
        <v>21</v>
      </c>
      <c r="C7" s="21"/>
      <c r="D7" s="22">
        <v>0</v>
      </c>
      <c r="E7" s="9">
        <v>0</v>
      </c>
      <c r="F7" s="9">
        <f t="shared" si="0"/>
        <v>0</v>
      </c>
    </row>
    <row r="8" spans="1:6" x14ac:dyDescent="0.5">
      <c r="A8" s="8" t="s">
        <v>23</v>
      </c>
      <c r="B8" s="21" t="s">
        <v>11</v>
      </c>
      <c r="C8" s="21"/>
      <c r="D8" s="22">
        <v>0</v>
      </c>
      <c r="E8" s="9">
        <v>0</v>
      </c>
      <c r="F8" s="20">
        <f t="shared" si="0"/>
        <v>0</v>
      </c>
    </row>
    <row r="9" spans="1:6" x14ac:dyDescent="0.5">
      <c r="A9" s="8"/>
      <c r="B9" s="21" t="s">
        <v>6</v>
      </c>
      <c r="C9" s="21"/>
      <c r="D9" s="22">
        <v>0</v>
      </c>
      <c r="E9" s="9">
        <v>0</v>
      </c>
      <c r="F9" s="9">
        <f t="shared" si="0"/>
        <v>0</v>
      </c>
    </row>
    <row r="10" spans="1:6" x14ac:dyDescent="0.5">
      <c r="A10" s="8"/>
      <c r="B10" s="21" t="s">
        <v>9</v>
      </c>
      <c r="C10" s="21"/>
      <c r="D10" s="22">
        <v>0</v>
      </c>
      <c r="E10" s="9">
        <v>0</v>
      </c>
      <c r="F10" s="20">
        <f t="shared" si="0"/>
        <v>0</v>
      </c>
    </row>
    <row r="11" spans="1:6" x14ac:dyDescent="0.5">
      <c r="A11" s="8"/>
      <c r="B11" s="21" t="s">
        <v>24</v>
      </c>
      <c r="C11" s="21"/>
      <c r="D11" s="22">
        <v>0</v>
      </c>
      <c r="E11" s="9">
        <v>0</v>
      </c>
      <c r="F11" s="9">
        <f t="shared" si="0"/>
        <v>0</v>
      </c>
    </row>
    <row r="12" spans="1:6" x14ac:dyDescent="0.5">
      <c r="A12" s="8" t="s">
        <v>25</v>
      </c>
      <c r="B12" s="21" t="s">
        <v>26</v>
      </c>
      <c r="C12" s="21"/>
      <c r="D12" s="22">
        <v>0</v>
      </c>
      <c r="E12" s="9">
        <v>0</v>
      </c>
      <c r="F12" s="20">
        <f t="shared" si="0"/>
        <v>0</v>
      </c>
    </row>
    <row r="13" spans="1:6" x14ac:dyDescent="0.5">
      <c r="A13" s="8"/>
      <c r="B13" s="21" t="s">
        <v>27</v>
      </c>
      <c r="C13" s="21"/>
      <c r="D13" s="22">
        <v>0</v>
      </c>
      <c r="E13" s="9">
        <v>0</v>
      </c>
      <c r="F13" s="9">
        <f t="shared" si="0"/>
        <v>0</v>
      </c>
    </row>
    <row r="14" spans="1:6" x14ac:dyDescent="0.5">
      <c r="A14" s="8" t="s">
        <v>28</v>
      </c>
      <c r="B14" s="21" t="s">
        <v>7</v>
      </c>
      <c r="C14" s="21"/>
      <c r="D14" s="22">
        <v>0</v>
      </c>
      <c r="E14" s="9">
        <v>0</v>
      </c>
      <c r="F14" s="20">
        <f t="shared" si="0"/>
        <v>0</v>
      </c>
    </row>
    <row r="15" spans="1:6" x14ac:dyDescent="0.5">
      <c r="A15" s="8" t="s">
        <v>29</v>
      </c>
      <c r="B15" s="21" t="s">
        <v>30</v>
      </c>
      <c r="C15" s="21"/>
      <c r="D15" s="22">
        <v>0</v>
      </c>
      <c r="E15" s="9">
        <v>0</v>
      </c>
      <c r="F15" s="9">
        <f t="shared" si="0"/>
        <v>0</v>
      </c>
    </row>
    <row r="16" spans="1:6" x14ac:dyDescent="0.5">
      <c r="A16" s="104" t="s">
        <v>1</v>
      </c>
      <c r="B16" s="104"/>
      <c r="C16" s="104"/>
      <c r="D16" s="23">
        <f>SUM(D6:D15)</f>
        <v>0</v>
      </c>
      <c r="E16" s="13">
        <f>SUM(E6:E15)</f>
        <v>0</v>
      </c>
      <c r="F16" s="13">
        <f>SUM(F6:F15)</f>
        <v>0</v>
      </c>
    </row>
    <row r="17" spans="1:6" x14ac:dyDescent="0.5">
      <c r="C17" s="19"/>
      <c r="D17" s="24"/>
    </row>
    <row r="18" spans="1:6" x14ac:dyDescent="0.5">
      <c r="A18" s="101" t="s">
        <v>119</v>
      </c>
      <c r="B18" s="102"/>
      <c r="C18" s="102"/>
      <c r="D18" s="102"/>
      <c r="E18" s="102"/>
      <c r="F18" s="102"/>
    </row>
    <row r="19" spans="1:6" x14ac:dyDescent="0.5">
      <c r="A19" s="101" t="s">
        <v>107</v>
      </c>
      <c r="B19" s="102"/>
      <c r="C19" s="102"/>
      <c r="D19" s="102"/>
      <c r="E19" s="102"/>
      <c r="F19" s="102"/>
    </row>
    <row r="20" spans="1:6" x14ac:dyDescent="0.5">
      <c r="C20" s="1" t="s">
        <v>109</v>
      </c>
    </row>
  </sheetData>
  <mergeCells count="6">
    <mergeCell ref="A19:F19"/>
    <mergeCell ref="A1:F1"/>
    <mergeCell ref="A2:F2"/>
    <mergeCell ref="A3:F3"/>
    <mergeCell ref="A16:C16"/>
    <mergeCell ref="A18:F18"/>
  </mergeCells>
  <pageMargins left="0.937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zoomScalePageLayoutView="80" workbookViewId="0">
      <selection activeCell="I14" sqref="I14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5.75" style="7" customWidth="1"/>
    <col min="6" max="6" width="20.87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133</v>
      </c>
      <c r="B2" s="103"/>
      <c r="C2" s="103"/>
      <c r="D2" s="103"/>
      <c r="E2" s="103"/>
      <c r="F2" s="103"/>
    </row>
    <row r="3" spans="1:6" ht="26.25" x14ac:dyDescent="0.55000000000000004">
      <c r="A3" s="103" t="s">
        <v>174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38" t="s">
        <v>13</v>
      </c>
      <c r="B5" s="38" t="s">
        <v>4</v>
      </c>
      <c r="C5" s="38" t="s">
        <v>2</v>
      </c>
      <c r="D5" s="25" t="s">
        <v>14</v>
      </c>
      <c r="E5" s="25" t="s">
        <v>172</v>
      </c>
      <c r="F5" s="25" t="s">
        <v>1</v>
      </c>
    </row>
    <row r="6" spans="1:6" x14ac:dyDescent="0.5">
      <c r="A6" s="39"/>
      <c r="B6" s="39"/>
      <c r="C6" s="39"/>
      <c r="D6" s="26"/>
      <c r="E6" s="11" t="s">
        <v>134</v>
      </c>
      <c r="F6" s="26"/>
    </row>
    <row r="7" spans="1:6" s="2" customFormat="1" x14ac:dyDescent="0.5">
      <c r="A7" s="21" t="s">
        <v>20</v>
      </c>
      <c r="B7" s="21" t="s">
        <v>22</v>
      </c>
      <c r="C7" s="12" t="s">
        <v>5</v>
      </c>
      <c r="D7" s="20">
        <v>0</v>
      </c>
      <c r="E7" s="20">
        <v>0</v>
      </c>
      <c r="F7" s="20">
        <f t="shared" ref="F7:F16" si="0">SUM(E7:E7)</f>
        <v>0</v>
      </c>
    </row>
    <row r="8" spans="1:6" x14ac:dyDescent="0.5">
      <c r="A8" s="8"/>
      <c r="B8" s="21" t="s">
        <v>21</v>
      </c>
      <c r="C8" s="21"/>
      <c r="D8" s="22">
        <v>0</v>
      </c>
      <c r="E8" s="9">
        <v>0</v>
      </c>
      <c r="F8" s="9">
        <f t="shared" si="0"/>
        <v>0</v>
      </c>
    </row>
    <row r="9" spans="1:6" x14ac:dyDescent="0.5">
      <c r="A9" s="8" t="s">
        <v>23</v>
      </c>
      <c r="B9" s="21" t="s">
        <v>11</v>
      </c>
      <c r="C9" s="21"/>
      <c r="D9" s="22">
        <v>0</v>
      </c>
      <c r="E9" s="9">
        <v>0</v>
      </c>
      <c r="F9" s="20">
        <f t="shared" si="0"/>
        <v>0</v>
      </c>
    </row>
    <row r="10" spans="1:6" x14ac:dyDescent="0.5">
      <c r="A10" s="8"/>
      <c r="B10" s="21" t="s">
        <v>6</v>
      </c>
      <c r="C10" s="21"/>
      <c r="D10" s="22">
        <v>0</v>
      </c>
      <c r="E10" s="9">
        <v>0</v>
      </c>
      <c r="F10" s="9">
        <f t="shared" si="0"/>
        <v>0</v>
      </c>
    </row>
    <row r="11" spans="1:6" x14ac:dyDescent="0.5">
      <c r="A11" s="8"/>
      <c r="B11" s="21" t="s">
        <v>9</v>
      </c>
      <c r="C11" s="21"/>
      <c r="D11" s="22">
        <v>0</v>
      </c>
      <c r="E11" s="9">
        <v>0</v>
      </c>
      <c r="F11" s="20">
        <f t="shared" si="0"/>
        <v>0</v>
      </c>
    </row>
    <row r="12" spans="1:6" x14ac:dyDescent="0.5">
      <c r="A12" s="8"/>
      <c r="B12" s="21" t="s">
        <v>24</v>
      </c>
      <c r="C12" s="21"/>
      <c r="D12" s="22">
        <v>0</v>
      </c>
      <c r="E12" s="9">
        <v>0</v>
      </c>
      <c r="F12" s="9">
        <f t="shared" si="0"/>
        <v>0</v>
      </c>
    </row>
    <row r="13" spans="1:6" x14ac:dyDescent="0.5">
      <c r="A13" s="8" t="s">
        <v>25</v>
      </c>
      <c r="B13" s="21" t="s">
        <v>26</v>
      </c>
      <c r="C13" s="21"/>
      <c r="D13" s="22">
        <v>0</v>
      </c>
      <c r="E13" s="9">
        <v>0</v>
      </c>
      <c r="F13" s="20">
        <f t="shared" si="0"/>
        <v>0</v>
      </c>
    </row>
    <row r="14" spans="1:6" x14ac:dyDescent="0.5">
      <c r="A14" s="8"/>
      <c r="B14" s="21" t="s">
        <v>27</v>
      </c>
      <c r="C14" s="21"/>
      <c r="D14" s="22">
        <v>0</v>
      </c>
      <c r="E14" s="9">
        <v>0</v>
      </c>
      <c r="F14" s="9">
        <f t="shared" si="0"/>
        <v>0</v>
      </c>
    </row>
    <row r="15" spans="1:6" x14ac:dyDescent="0.5">
      <c r="A15" s="8" t="s">
        <v>28</v>
      </c>
      <c r="B15" s="21" t="s">
        <v>7</v>
      </c>
      <c r="C15" s="21"/>
      <c r="D15" s="22">
        <v>200000</v>
      </c>
      <c r="E15" s="9">
        <v>0</v>
      </c>
      <c r="F15" s="20">
        <f t="shared" si="0"/>
        <v>0</v>
      </c>
    </row>
    <row r="16" spans="1:6" x14ac:dyDescent="0.5">
      <c r="A16" s="8" t="s">
        <v>29</v>
      </c>
      <c r="B16" s="21" t="s">
        <v>30</v>
      </c>
      <c r="C16" s="21"/>
      <c r="D16" s="22">
        <v>0</v>
      </c>
      <c r="E16" s="9">
        <v>0</v>
      </c>
      <c r="F16" s="9">
        <f t="shared" si="0"/>
        <v>0</v>
      </c>
    </row>
    <row r="17" spans="1:6" x14ac:dyDescent="0.5">
      <c r="A17" s="104" t="s">
        <v>1</v>
      </c>
      <c r="B17" s="104"/>
      <c r="C17" s="104"/>
      <c r="D17" s="23">
        <f>SUM(D7:D16)</f>
        <v>200000</v>
      </c>
      <c r="E17" s="13">
        <f>SUM(E7:E16)</f>
        <v>0</v>
      </c>
      <c r="F17" s="13">
        <f>SUM(F7:F16)</f>
        <v>0</v>
      </c>
    </row>
    <row r="18" spans="1:6" x14ac:dyDescent="0.5">
      <c r="C18" s="19"/>
      <c r="D18" s="76"/>
    </row>
    <row r="19" spans="1:6" x14ac:dyDescent="0.5">
      <c r="A19" s="101"/>
      <c r="B19" s="102"/>
      <c r="C19" s="102"/>
      <c r="D19" s="102"/>
      <c r="E19" s="102"/>
      <c r="F19" s="102"/>
    </row>
    <row r="20" spans="1:6" x14ac:dyDescent="0.5">
      <c r="A20" s="101"/>
      <c r="B20" s="102"/>
      <c r="C20" s="102"/>
      <c r="D20" s="102"/>
      <c r="E20" s="102"/>
      <c r="F20" s="102"/>
    </row>
  </sheetData>
  <mergeCells count="6">
    <mergeCell ref="A20:F20"/>
    <mergeCell ref="A1:F1"/>
    <mergeCell ref="A2:F2"/>
    <mergeCell ref="A3:F3"/>
    <mergeCell ref="A17:C17"/>
    <mergeCell ref="A19:F19"/>
  </mergeCells>
  <pageMargins left="0.937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Layout" zoomScale="60" zoomScaleNormal="60" zoomScaleSheetLayoutView="50" zoomScalePageLayoutView="60" workbookViewId="0">
      <selection activeCell="A22" sqref="A22:H22"/>
    </sheetView>
  </sheetViews>
  <sheetFormatPr defaultRowHeight="23.25" x14ac:dyDescent="0.5"/>
  <cols>
    <col min="1" max="1" width="17.75" style="1" customWidth="1"/>
    <col min="2" max="2" width="26.125" style="1" customWidth="1"/>
    <col min="3" max="3" width="22.75" style="1" customWidth="1"/>
    <col min="4" max="4" width="21.625" style="7" customWidth="1"/>
    <col min="5" max="5" width="21.75" style="7" customWidth="1"/>
    <col min="6" max="6" width="21.875" style="7" customWidth="1"/>
    <col min="7" max="7" width="22" style="7" customWidth="1"/>
    <col min="8" max="8" width="21.25" style="7" customWidth="1"/>
    <col min="9" max="16384" width="9" style="1"/>
  </cols>
  <sheetData>
    <row r="1" spans="1:8" ht="26.25" x14ac:dyDescent="0.55000000000000004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26.25" x14ac:dyDescent="0.55000000000000004">
      <c r="A2" s="103" t="s">
        <v>43</v>
      </c>
      <c r="B2" s="103"/>
      <c r="C2" s="103"/>
      <c r="D2" s="103"/>
      <c r="E2" s="103"/>
      <c r="F2" s="103"/>
      <c r="G2" s="103"/>
      <c r="H2" s="103"/>
    </row>
    <row r="3" spans="1:8" ht="26.25" x14ac:dyDescent="0.55000000000000004">
      <c r="A3" s="103" t="s">
        <v>178</v>
      </c>
      <c r="B3" s="103"/>
      <c r="C3" s="103"/>
      <c r="D3" s="103"/>
      <c r="E3" s="103"/>
      <c r="F3" s="103"/>
      <c r="G3" s="103"/>
      <c r="H3" s="103"/>
    </row>
    <row r="4" spans="1:8" s="15" customFormat="1" ht="14.25" x14ac:dyDescent="0.3">
      <c r="D4" s="18"/>
      <c r="E4" s="18"/>
      <c r="F4" s="18"/>
      <c r="G4" s="18"/>
      <c r="H4" s="18"/>
    </row>
    <row r="5" spans="1:8" x14ac:dyDescent="0.5">
      <c r="A5" s="109" t="s">
        <v>13</v>
      </c>
      <c r="B5" s="109" t="s">
        <v>4</v>
      </c>
      <c r="C5" s="109" t="s">
        <v>2</v>
      </c>
      <c r="D5" s="109" t="s">
        <v>14</v>
      </c>
      <c r="E5" s="107" t="s">
        <v>172</v>
      </c>
      <c r="F5" s="112"/>
      <c r="G5" s="108"/>
      <c r="H5" s="25" t="s">
        <v>1</v>
      </c>
    </row>
    <row r="6" spans="1:8" x14ac:dyDescent="0.5">
      <c r="A6" s="110"/>
      <c r="B6" s="110"/>
      <c r="C6" s="110"/>
      <c r="D6" s="110"/>
      <c r="E6" s="25" t="s">
        <v>18</v>
      </c>
      <c r="F6" s="81" t="s">
        <v>45</v>
      </c>
      <c r="G6" s="25" t="s">
        <v>46</v>
      </c>
      <c r="H6" s="28"/>
    </row>
    <row r="7" spans="1:8" x14ac:dyDescent="0.5">
      <c r="A7" s="111"/>
      <c r="B7" s="111"/>
      <c r="C7" s="111"/>
      <c r="D7" s="111"/>
      <c r="E7" s="26" t="s">
        <v>44</v>
      </c>
      <c r="F7" s="99"/>
      <c r="G7" s="26" t="s">
        <v>47</v>
      </c>
      <c r="H7" s="26"/>
    </row>
    <row r="8" spans="1:8" s="2" customFormat="1" x14ac:dyDescent="0.5">
      <c r="A8" s="21" t="s">
        <v>20</v>
      </c>
      <c r="B8" s="21" t="s">
        <v>22</v>
      </c>
      <c r="C8" s="12" t="s">
        <v>5</v>
      </c>
      <c r="D8" s="20">
        <v>0</v>
      </c>
      <c r="E8" s="20">
        <v>0</v>
      </c>
      <c r="F8" s="20">
        <v>0</v>
      </c>
      <c r="G8" s="20">
        <v>0</v>
      </c>
      <c r="H8" s="20">
        <f>SUM(E8:F8)</f>
        <v>0</v>
      </c>
    </row>
    <row r="9" spans="1:8" x14ac:dyDescent="0.5">
      <c r="A9" s="8"/>
      <c r="B9" s="21" t="s">
        <v>21</v>
      </c>
      <c r="C9" s="21"/>
      <c r="D9" s="22">
        <f>1500000+60000+288000+42000</f>
        <v>1890000</v>
      </c>
      <c r="E9" s="9">
        <f>894360+31500+213570+18945</f>
        <v>1158375</v>
      </c>
      <c r="F9" s="9">
        <v>0</v>
      </c>
      <c r="G9" s="9">
        <v>0</v>
      </c>
      <c r="H9" s="9">
        <f t="shared" ref="H9:H15" si="0">SUM(E9:G9)</f>
        <v>1158375</v>
      </c>
    </row>
    <row r="10" spans="1:8" x14ac:dyDescent="0.5">
      <c r="A10" s="8" t="s">
        <v>23</v>
      </c>
      <c r="B10" s="21" t="s">
        <v>11</v>
      </c>
      <c r="C10" s="21"/>
      <c r="D10" s="22">
        <f>225000+10000+170000+20000</f>
        <v>425000</v>
      </c>
      <c r="E10" s="9">
        <f>10000+60386+10600</f>
        <v>80986</v>
      </c>
      <c r="F10" s="9">
        <v>0</v>
      </c>
      <c r="G10" s="9">
        <v>0</v>
      </c>
      <c r="H10" s="9">
        <f t="shared" si="0"/>
        <v>80986</v>
      </c>
    </row>
    <row r="11" spans="1:8" x14ac:dyDescent="0.5">
      <c r="A11" s="8"/>
      <c r="B11" s="21" t="s">
        <v>6</v>
      </c>
      <c r="C11" s="21"/>
      <c r="D11" s="22">
        <f>280000+950000+200000</f>
        <v>1430000</v>
      </c>
      <c r="E11" s="9">
        <f>14200</f>
        <v>14200</v>
      </c>
      <c r="F11" s="9">
        <f>90600</f>
        <v>90600</v>
      </c>
      <c r="G11" s="9">
        <f>523565.25+5424+12500</f>
        <v>541489.25</v>
      </c>
      <c r="H11" s="9">
        <f t="shared" si="0"/>
        <v>646289.25</v>
      </c>
    </row>
    <row r="12" spans="1:8" x14ac:dyDescent="0.5">
      <c r="A12" s="8"/>
      <c r="B12" s="21" t="s">
        <v>9</v>
      </c>
      <c r="C12" s="21"/>
      <c r="D12" s="22">
        <f>260000+268600+514450</f>
        <v>1043050</v>
      </c>
      <c r="E12" s="9">
        <f>11286.12</f>
        <v>11286.12</v>
      </c>
      <c r="F12" s="9">
        <f>94475+11394.61</f>
        <v>105869.61</v>
      </c>
      <c r="G12" s="9">
        <f>78911.58+68600</f>
        <v>147511.58000000002</v>
      </c>
      <c r="H12" s="9">
        <f t="shared" si="0"/>
        <v>264667.31</v>
      </c>
    </row>
    <row r="13" spans="1:8" x14ac:dyDescent="0.5">
      <c r="A13" s="8"/>
      <c r="B13" s="21" t="s">
        <v>24</v>
      </c>
      <c r="C13" s="21"/>
      <c r="D13" s="22">
        <v>0</v>
      </c>
      <c r="E13" s="9">
        <v>0</v>
      </c>
      <c r="F13" s="9">
        <v>0</v>
      </c>
      <c r="G13" s="9">
        <v>0</v>
      </c>
      <c r="H13" s="9">
        <f t="shared" si="0"/>
        <v>0</v>
      </c>
    </row>
    <row r="14" spans="1:8" x14ac:dyDescent="0.5">
      <c r="A14" s="8" t="s">
        <v>25</v>
      </c>
      <c r="B14" s="21" t="s">
        <v>26</v>
      </c>
      <c r="C14" s="21"/>
      <c r="D14" s="22">
        <f>3300000</f>
        <v>3300000</v>
      </c>
      <c r="E14" s="9">
        <v>0</v>
      </c>
      <c r="F14" s="9">
        <v>0</v>
      </c>
      <c r="G14" s="9">
        <v>0</v>
      </c>
      <c r="H14" s="9">
        <f t="shared" si="0"/>
        <v>0</v>
      </c>
    </row>
    <row r="15" spans="1:8" x14ac:dyDescent="0.5">
      <c r="A15" s="8"/>
      <c r="B15" s="21" t="s">
        <v>27</v>
      </c>
      <c r="C15" s="21"/>
      <c r="D15" s="22">
        <f>496000+493000+493000+498000+483000+490000+485000+497000+350000+200000+266000+28000+420000+140000+319000+203000</f>
        <v>5861000</v>
      </c>
      <c r="E15" s="9">
        <v>0</v>
      </c>
      <c r="F15" s="9">
        <f>496000+493000+493000+498000+483000+490000+485000+497000+266000+28000+417000+139000+317000+197000</f>
        <v>5299000</v>
      </c>
      <c r="G15" s="9">
        <v>0</v>
      </c>
      <c r="H15" s="9">
        <f t="shared" si="0"/>
        <v>5299000</v>
      </c>
    </row>
    <row r="16" spans="1:8" x14ac:dyDescent="0.5">
      <c r="A16" s="8" t="s">
        <v>28</v>
      </c>
      <c r="B16" s="21" t="s">
        <v>7</v>
      </c>
      <c r="C16" s="21"/>
      <c r="D16" s="22">
        <v>0</v>
      </c>
      <c r="E16" s="9">
        <v>0</v>
      </c>
      <c r="F16" s="9">
        <v>0</v>
      </c>
      <c r="G16" s="9">
        <v>0</v>
      </c>
      <c r="H16" s="9">
        <f t="shared" ref="H16" si="1">SUM(E16:G16)</f>
        <v>0</v>
      </c>
    </row>
    <row r="17" spans="1:8" x14ac:dyDescent="0.5">
      <c r="A17" s="8" t="s">
        <v>29</v>
      </c>
      <c r="B17" s="21" t="s">
        <v>30</v>
      </c>
      <c r="C17" s="21"/>
      <c r="D17" s="22">
        <v>0</v>
      </c>
      <c r="E17" s="9">
        <v>0</v>
      </c>
      <c r="F17" s="9">
        <v>0</v>
      </c>
      <c r="G17" s="9">
        <v>0</v>
      </c>
      <c r="H17" s="9">
        <f>SUM(E17:G17)</f>
        <v>0</v>
      </c>
    </row>
    <row r="18" spans="1:8" x14ac:dyDescent="0.5">
      <c r="A18" s="104" t="s">
        <v>1</v>
      </c>
      <c r="B18" s="104"/>
      <c r="C18" s="104"/>
      <c r="D18" s="23">
        <f>SUM(D8:D17)</f>
        <v>13949050</v>
      </c>
      <c r="E18" s="13">
        <f>SUM(E8:E17)</f>
        <v>1264847.1200000001</v>
      </c>
      <c r="F18" s="13">
        <f>SUM(F8:F17)</f>
        <v>5495469.6100000003</v>
      </c>
      <c r="G18" s="13">
        <f>SUM(G8:G17)</f>
        <v>689000.83000000007</v>
      </c>
      <c r="H18" s="13">
        <f>SUM(H8:H17)</f>
        <v>7449317.5600000005</v>
      </c>
    </row>
    <row r="19" spans="1:8" x14ac:dyDescent="0.5">
      <c r="A19" s="14"/>
      <c r="B19" s="14"/>
      <c r="C19" s="14"/>
      <c r="D19" s="35"/>
      <c r="E19" s="5"/>
      <c r="F19" s="5"/>
      <c r="G19" s="5"/>
      <c r="H19" s="5"/>
    </row>
    <row r="20" spans="1:8" x14ac:dyDescent="0.5">
      <c r="A20" s="14"/>
      <c r="B20" s="14"/>
      <c r="C20" s="14"/>
      <c r="D20" s="35"/>
      <c r="E20" s="5"/>
      <c r="F20" s="5"/>
      <c r="G20" s="5"/>
      <c r="H20" s="5"/>
    </row>
    <row r="21" spans="1:8" x14ac:dyDescent="0.5">
      <c r="C21" s="19"/>
      <c r="D21" s="24"/>
    </row>
    <row r="22" spans="1:8" x14ac:dyDescent="0.5">
      <c r="A22" s="101"/>
      <c r="B22" s="102"/>
      <c r="C22" s="102"/>
      <c r="D22" s="102"/>
      <c r="E22" s="102"/>
      <c r="F22" s="102"/>
      <c r="G22" s="102"/>
      <c r="H22" s="102"/>
    </row>
    <row r="23" spans="1:8" x14ac:dyDescent="0.5">
      <c r="A23" s="101"/>
      <c r="B23" s="102"/>
      <c r="C23" s="102"/>
      <c r="D23" s="102"/>
      <c r="E23" s="102"/>
      <c r="F23" s="102"/>
      <c r="G23" s="102"/>
      <c r="H23" s="102"/>
    </row>
    <row r="24" spans="1:8" x14ac:dyDescent="0.5">
      <c r="A24" s="113"/>
      <c r="B24" s="113"/>
      <c r="C24" s="113"/>
      <c r="D24" s="113"/>
      <c r="E24" s="113"/>
      <c r="F24" s="113"/>
      <c r="G24" s="113"/>
      <c r="H24" s="113"/>
    </row>
  </sheetData>
  <mergeCells count="12">
    <mergeCell ref="A24:H24"/>
    <mergeCell ref="A18:C18"/>
    <mergeCell ref="A22:H22"/>
    <mergeCell ref="A23:H23"/>
    <mergeCell ref="A1:H1"/>
    <mergeCell ref="A2:H2"/>
    <mergeCell ref="A3:H3"/>
    <mergeCell ref="A5:A7"/>
    <mergeCell ref="B5:B7"/>
    <mergeCell ref="C5:C7"/>
    <mergeCell ref="D5:D7"/>
    <mergeCell ref="E5:G5"/>
  </mergeCells>
  <pageMargins left="1.0421875" right="0.23622047244094491" top="0.546875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="80" zoomScaleNormal="90" zoomScalePageLayoutView="80" workbookViewId="0">
      <selection activeCell="C12" sqref="C12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7" customWidth="1"/>
    <col min="5" max="5" width="21.625" style="7" customWidth="1"/>
    <col min="6" max="6" width="20.875" style="7" customWidth="1"/>
    <col min="7" max="16384" width="9" style="1"/>
  </cols>
  <sheetData>
    <row r="1" spans="1:6" ht="26.25" x14ac:dyDescent="0.55000000000000004">
      <c r="A1" s="103" t="s">
        <v>0</v>
      </c>
      <c r="B1" s="103"/>
      <c r="C1" s="103"/>
      <c r="D1" s="103"/>
      <c r="E1" s="103"/>
      <c r="F1" s="103"/>
    </row>
    <row r="2" spans="1:6" ht="26.25" x14ac:dyDescent="0.55000000000000004">
      <c r="A2" s="103" t="s">
        <v>48</v>
      </c>
      <c r="B2" s="103"/>
      <c r="C2" s="103"/>
      <c r="D2" s="103"/>
      <c r="E2" s="103"/>
      <c r="F2" s="103"/>
    </row>
    <row r="3" spans="1:6" ht="26.25" x14ac:dyDescent="0.55000000000000004">
      <c r="A3" s="103" t="s">
        <v>175</v>
      </c>
      <c r="B3" s="103"/>
      <c r="C3" s="103"/>
      <c r="D3" s="103"/>
      <c r="E3" s="103"/>
      <c r="F3" s="103"/>
    </row>
    <row r="4" spans="1:6" s="15" customFormat="1" ht="14.25" x14ac:dyDescent="0.3">
      <c r="D4" s="18"/>
      <c r="E4" s="18"/>
      <c r="F4" s="18"/>
    </row>
    <row r="5" spans="1:6" x14ac:dyDescent="0.5">
      <c r="A5" s="109" t="s">
        <v>13</v>
      </c>
      <c r="B5" s="109" t="s">
        <v>4</v>
      </c>
      <c r="C5" s="109" t="s">
        <v>2</v>
      </c>
      <c r="D5" s="109" t="s">
        <v>14</v>
      </c>
      <c r="E5" s="25" t="s">
        <v>172</v>
      </c>
      <c r="F5" s="109" t="s">
        <v>1</v>
      </c>
    </row>
    <row r="6" spans="1:6" x14ac:dyDescent="0.5">
      <c r="A6" s="110"/>
      <c r="B6" s="110"/>
      <c r="C6" s="110"/>
      <c r="D6" s="110"/>
      <c r="E6" s="25" t="s">
        <v>49</v>
      </c>
      <c r="F6" s="110"/>
    </row>
    <row r="7" spans="1:6" x14ac:dyDescent="0.5">
      <c r="A7" s="111"/>
      <c r="B7" s="111"/>
      <c r="C7" s="111"/>
      <c r="D7" s="111"/>
      <c r="E7" s="26" t="s">
        <v>50</v>
      </c>
      <c r="F7" s="111"/>
    </row>
    <row r="8" spans="1:6" s="2" customFormat="1" x14ac:dyDescent="0.5">
      <c r="A8" s="21" t="s">
        <v>20</v>
      </c>
      <c r="B8" s="21" t="s">
        <v>22</v>
      </c>
      <c r="C8" s="12" t="s">
        <v>15</v>
      </c>
      <c r="D8" s="20">
        <v>0</v>
      </c>
      <c r="E8" s="20">
        <v>0</v>
      </c>
      <c r="F8" s="20"/>
    </row>
    <row r="9" spans="1:6" x14ac:dyDescent="0.5">
      <c r="A9" s="8"/>
      <c r="B9" s="21" t="s">
        <v>21</v>
      </c>
      <c r="C9" s="21"/>
      <c r="D9" s="22">
        <v>0</v>
      </c>
      <c r="E9" s="9">
        <v>0</v>
      </c>
      <c r="F9" s="9">
        <f t="shared" ref="F9:F17" si="0">SUM(E9:E9)</f>
        <v>0</v>
      </c>
    </row>
    <row r="10" spans="1:6" x14ac:dyDescent="0.5">
      <c r="A10" s="8" t="s">
        <v>23</v>
      </c>
      <c r="B10" s="21" t="s">
        <v>11</v>
      </c>
      <c r="C10" s="21"/>
      <c r="D10" s="22">
        <v>0</v>
      </c>
      <c r="E10" s="9">
        <v>0</v>
      </c>
      <c r="F10" s="20">
        <f t="shared" si="0"/>
        <v>0</v>
      </c>
    </row>
    <row r="11" spans="1:6" x14ac:dyDescent="0.5">
      <c r="A11" s="8"/>
      <c r="B11" s="21" t="s">
        <v>6</v>
      </c>
      <c r="C11" s="21"/>
      <c r="D11" s="22">
        <v>190000</v>
      </c>
      <c r="E11" s="9">
        <v>13910</v>
      </c>
      <c r="F11" s="9">
        <f t="shared" si="0"/>
        <v>13910</v>
      </c>
    </row>
    <row r="12" spans="1:6" x14ac:dyDescent="0.5">
      <c r="A12" s="8"/>
      <c r="B12" s="21" t="s">
        <v>9</v>
      </c>
      <c r="C12" s="21"/>
      <c r="D12" s="22">
        <v>0</v>
      </c>
      <c r="E12" s="9">
        <v>0</v>
      </c>
      <c r="F12" s="20">
        <f t="shared" si="0"/>
        <v>0</v>
      </c>
    </row>
    <row r="13" spans="1:6" x14ac:dyDescent="0.5">
      <c r="A13" s="8"/>
      <c r="B13" s="21" t="s">
        <v>24</v>
      </c>
      <c r="C13" s="21"/>
      <c r="D13" s="22">
        <v>0</v>
      </c>
      <c r="E13" s="9">
        <v>0</v>
      </c>
      <c r="F13" s="9">
        <f t="shared" si="0"/>
        <v>0</v>
      </c>
    </row>
    <row r="14" spans="1:6" x14ac:dyDescent="0.5">
      <c r="A14" s="8" t="s">
        <v>25</v>
      </c>
      <c r="B14" s="21" t="s">
        <v>26</v>
      </c>
      <c r="C14" s="21"/>
      <c r="D14" s="22">
        <v>0</v>
      </c>
      <c r="E14" s="9">
        <v>0</v>
      </c>
      <c r="F14" s="20">
        <f t="shared" si="0"/>
        <v>0</v>
      </c>
    </row>
    <row r="15" spans="1:6" x14ac:dyDescent="0.5">
      <c r="A15" s="8"/>
      <c r="B15" s="21" t="s">
        <v>27</v>
      </c>
      <c r="C15" s="21"/>
      <c r="D15" s="22">
        <v>0</v>
      </c>
      <c r="E15" s="9">
        <v>0</v>
      </c>
      <c r="F15" s="9">
        <f t="shared" si="0"/>
        <v>0</v>
      </c>
    </row>
    <row r="16" spans="1:6" x14ac:dyDescent="0.5">
      <c r="A16" s="8" t="s">
        <v>28</v>
      </c>
      <c r="B16" s="21" t="s">
        <v>7</v>
      </c>
      <c r="C16" s="21"/>
      <c r="D16" s="22">
        <v>0</v>
      </c>
      <c r="E16" s="9">
        <v>0</v>
      </c>
      <c r="F16" s="20">
        <f t="shared" si="0"/>
        <v>0</v>
      </c>
    </row>
    <row r="17" spans="1:6" x14ac:dyDescent="0.5">
      <c r="A17" s="8" t="s">
        <v>29</v>
      </c>
      <c r="B17" s="21" t="s">
        <v>30</v>
      </c>
      <c r="C17" s="21"/>
      <c r="D17" s="22">
        <v>64200</v>
      </c>
      <c r="E17" s="9">
        <v>0</v>
      </c>
      <c r="F17" s="9">
        <f t="shared" si="0"/>
        <v>0</v>
      </c>
    </row>
    <row r="18" spans="1:6" x14ac:dyDescent="0.5">
      <c r="A18" s="104" t="s">
        <v>1</v>
      </c>
      <c r="B18" s="104"/>
      <c r="C18" s="104"/>
      <c r="D18" s="23">
        <f>SUM(D8:D17)</f>
        <v>254200</v>
      </c>
      <c r="E18" s="13">
        <f>SUM(E8:E17)</f>
        <v>13910</v>
      </c>
      <c r="F18" s="13">
        <f>SUM(F8:F17)</f>
        <v>13910</v>
      </c>
    </row>
    <row r="19" spans="1:6" x14ac:dyDescent="0.5">
      <c r="C19" s="19"/>
      <c r="D19" s="24"/>
    </row>
    <row r="20" spans="1:6" x14ac:dyDescent="0.5">
      <c r="A20" s="101"/>
      <c r="B20" s="102"/>
      <c r="C20" s="102"/>
      <c r="D20" s="102"/>
      <c r="E20" s="102"/>
      <c r="F20" s="102"/>
    </row>
    <row r="21" spans="1:6" x14ac:dyDescent="0.5">
      <c r="A21" s="101"/>
      <c r="B21" s="102"/>
      <c r="C21" s="102"/>
      <c r="D21" s="102"/>
      <c r="E21" s="102"/>
      <c r="F21" s="102"/>
    </row>
  </sheetData>
  <mergeCells count="11">
    <mergeCell ref="A1:F1"/>
    <mergeCell ref="A2:F2"/>
    <mergeCell ref="A3:F3"/>
    <mergeCell ref="A18:C18"/>
    <mergeCell ref="A20:F20"/>
    <mergeCell ref="A21:F21"/>
    <mergeCell ref="A5:A7"/>
    <mergeCell ref="B5:B7"/>
    <mergeCell ref="C5:C7"/>
    <mergeCell ref="D5:D7"/>
    <mergeCell ref="F5:F7"/>
  </mergeCells>
  <pageMargins left="0.9375" right="0.25" top="0.61197916666666663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="80" zoomScaleNormal="90" zoomScalePageLayoutView="80" workbookViewId="0">
      <selection activeCell="D12" sqref="D12"/>
    </sheetView>
  </sheetViews>
  <sheetFormatPr defaultRowHeight="23.25" x14ac:dyDescent="0.5"/>
  <cols>
    <col min="1" max="1" width="14.875" style="1" customWidth="1"/>
    <col min="2" max="2" width="20.25" style="1" customWidth="1"/>
    <col min="3" max="3" width="17.625" style="1" customWidth="1"/>
    <col min="4" max="4" width="17.5" style="7" customWidth="1"/>
    <col min="5" max="5" width="18.5" style="7" customWidth="1"/>
    <col min="6" max="6" width="19" style="7" customWidth="1"/>
    <col min="7" max="7" width="17.5" style="7" customWidth="1"/>
    <col min="8" max="16384" width="9" style="1"/>
  </cols>
  <sheetData>
    <row r="1" spans="1:7" ht="26.25" x14ac:dyDescent="0.55000000000000004">
      <c r="A1" s="103" t="s">
        <v>0</v>
      </c>
      <c r="B1" s="103"/>
      <c r="C1" s="103"/>
      <c r="D1" s="103"/>
      <c r="E1" s="103"/>
      <c r="F1" s="103"/>
      <c r="G1" s="103"/>
    </row>
    <row r="2" spans="1:7" ht="26.25" x14ac:dyDescent="0.55000000000000004">
      <c r="A2" s="103" t="s">
        <v>51</v>
      </c>
      <c r="B2" s="103"/>
      <c r="C2" s="103"/>
      <c r="D2" s="103"/>
      <c r="E2" s="103"/>
      <c r="F2" s="103"/>
      <c r="G2" s="103"/>
    </row>
    <row r="3" spans="1:7" ht="26.25" x14ac:dyDescent="0.55000000000000004">
      <c r="A3" s="103" t="s">
        <v>176</v>
      </c>
      <c r="B3" s="103"/>
      <c r="C3" s="103"/>
      <c r="D3" s="103"/>
      <c r="E3" s="103"/>
      <c r="F3" s="103"/>
      <c r="G3" s="103"/>
    </row>
    <row r="4" spans="1:7" s="15" customFormat="1" ht="14.25" x14ac:dyDescent="0.3">
      <c r="D4" s="18"/>
      <c r="E4" s="18"/>
      <c r="F4" s="18"/>
      <c r="G4" s="18"/>
    </row>
    <row r="5" spans="1:7" x14ac:dyDescent="0.5">
      <c r="A5" s="109" t="s">
        <v>13</v>
      </c>
      <c r="B5" s="109" t="s">
        <v>4</v>
      </c>
      <c r="C5" s="109" t="s">
        <v>2</v>
      </c>
      <c r="D5" s="109" t="s">
        <v>14</v>
      </c>
      <c r="E5" s="107" t="s">
        <v>172</v>
      </c>
      <c r="F5" s="108"/>
      <c r="G5" s="25" t="s">
        <v>1</v>
      </c>
    </row>
    <row r="6" spans="1:7" x14ac:dyDescent="0.5">
      <c r="A6" s="110"/>
      <c r="B6" s="110"/>
      <c r="C6" s="110"/>
      <c r="D6" s="110"/>
      <c r="E6" s="25" t="s">
        <v>52</v>
      </c>
      <c r="F6" s="25" t="s">
        <v>54</v>
      </c>
      <c r="G6" s="28"/>
    </row>
    <row r="7" spans="1:7" x14ac:dyDescent="0.5">
      <c r="A7" s="111"/>
      <c r="B7" s="111"/>
      <c r="C7" s="111"/>
      <c r="D7" s="111"/>
      <c r="E7" s="26" t="s">
        <v>53</v>
      </c>
      <c r="F7" s="26" t="s">
        <v>55</v>
      </c>
      <c r="G7" s="26"/>
    </row>
    <row r="8" spans="1:7" s="2" customFormat="1" x14ac:dyDescent="0.5">
      <c r="A8" s="21" t="s">
        <v>20</v>
      </c>
      <c r="B8" s="21" t="s">
        <v>22</v>
      </c>
      <c r="C8" s="12" t="s">
        <v>5</v>
      </c>
      <c r="D8" s="20">
        <v>0</v>
      </c>
      <c r="E8" s="20">
        <v>0</v>
      </c>
      <c r="F8" s="20">
        <v>0</v>
      </c>
      <c r="G8" s="20">
        <f>SUM(E8:F8)</f>
        <v>0</v>
      </c>
    </row>
    <row r="9" spans="1:7" x14ac:dyDescent="0.5">
      <c r="A9" s="8"/>
      <c r="B9" s="21" t="s">
        <v>21</v>
      </c>
      <c r="C9" s="21"/>
      <c r="D9" s="20">
        <v>0</v>
      </c>
      <c r="E9" s="20">
        <v>0</v>
      </c>
      <c r="F9" s="20">
        <v>0</v>
      </c>
      <c r="G9" s="9">
        <f>SUM(E8:F9)</f>
        <v>0</v>
      </c>
    </row>
    <row r="10" spans="1:7" x14ac:dyDescent="0.5">
      <c r="A10" s="8" t="s">
        <v>23</v>
      </c>
      <c r="B10" s="21" t="s">
        <v>11</v>
      </c>
      <c r="C10" s="21"/>
      <c r="D10" s="20">
        <v>0</v>
      </c>
      <c r="E10" s="20">
        <v>0</v>
      </c>
      <c r="F10" s="20">
        <v>0</v>
      </c>
      <c r="G10" s="9">
        <f>SUM(E10:F10)</f>
        <v>0</v>
      </c>
    </row>
    <row r="11" spans="1:7" x14ac:dyDescent="0.5">
      <c r="A11" s="8"/>
      <c r="B11" s="21" t="s">
        <v>6</v>
      </c>
      <c r="C11" s="21"/>
      <c r="D11" s="20">
        <v>831000</v>
      </c>
      <c r="E11" s="20">
        <f>99950+158510+15830</f>
        <v>274290</v>
      </c>
      <c r="F11" s="20">
        <v>285385</v>
      </c>
      <c r="G11" s="9">
        <f>SUM(E11:F11)</f>
        <v>559675</v>
      </c>
    </row>
    <row r="12" spans="1:7" x14ac:dyDescent="0.5">
      <c r="A12" s="8"/>
      <c r="B12" s="21" t="s">
        <v>9</v>
      </c>
      <c r="C12" s="21"/>
      <c r="D12" s="20">
        <f>100000</f>
        <v>100000</v>
      </c>
      <c r="E12" s="20">
        <v>99605</v>
      </c>
      <c r="F12" s="20">
        <v>0</v>
      </c>
      <c r="G12" s="9">
        <f>SUM(E12:F12)</f>
        <v>99605</v>
      </c>
    </row>
    <row r="13" spans="1:7" x14ac:dyDescent="0.5">
      <c r="A13" s="8"/>
      <c r="B13" s="21" t="s">
        <v>24</v>
      </c>
      <c r="C13" s="21"/>
      <c r="D13" s="20">
        <v>0</v>
      </c>
      <c r="E13" s="20">
        <v>0</v>
      </c>
      <c r="F13" s="20">
        <v>0</v>
      </c>
      <c r="G13" s="9">
        <f>SUM(E13:F13)</f>
        <v>0</v>
      </c>
    </row>
    <row r="14" spans="1:7" x14ac:dyDescent="0.5">
      <c r="A14" s="8" t="s">
        <v>25</v>
      </c>
      <c r="B14" s="21" t="s">
        <v>26</v>
      </c>
      <c r="C14" s="21"/>
      <c r="D14" s="20">
        <v>0</v>
      </c>
      <c r="E14" s="20">
        <v>0</v>
      </c>
      <c r="F14" s="20">
        <v>0</v>
      </c>
      <c r="G14" s="9">
        <f>SUM(E14:F14)</f>
        <v>0</v>
      </c>
    </row>
    <row r="15" spans="1:7" x14ac:dyDescent="0.5">
      <c r="A15" s="8"/>
      <c r="B15" s="21" t="s">
        <v>27</v>
      </c>
      <c r="C15" s="21"/>
      <c r="D15" s="20">
        <v>0</v>
      </c>
      <c r="E15" s="20">
        <v>0</v>
      </c>
      <c r="F15" s="20">
        <v>0</v>
      </c>
      <c r="G15" s="9">
        <v>0</v>
      </c>
    </row>
    <row r="16" spans="1:7" x14ac:dyDescent="0.5">
      <c r="A16" s="8" t="s">
        <v>28</v>
      </c>
      <c r="B16" s="21" t="s">
        <v>7</v>
      </c>
      <c r="C16" s="21"/>
      <c r="D16" s="20">
        <v>0</v>
      </c>
      <c r="E16" s="20">
        <v>0</v>
      </c>
      <c r="F16" s="20">
        <v>0</v>
      </c>
      <c r="G16" s="9">
        <f>SUM(E16:F16)</f>
        <v>0</v>
      </c>
    </row>
    <row r="17" spans="1:7" x14ac:dyDescent="0.5">
      <c r="A17" s="8" t="s">
        <v>29</v>
      </c>
      <c r="B17" s="21" t="s">
        <v>30</v>
      </c>
      <c r="C17" s="21"/>
      <c r="D17" s="20">
        <v>114000</v>
      </c>
      <c r="E17" s="20">
        <v>0</v>
      </c>
      <c r="F17" s="20">
        <v>83247.5</v>
      </c>
      <c r="G17" s="9">
        <f>SUM(E17:F17)</f>
        <v>83247.5</v>
      </c>
    </row>
    <row r="18" spans="1:7" x14ac:dyDescent="0.5">
      <c r="A18" s="104" t="s">
        <v>1</v>
      </c>
      <c r="B18" s="104"/>
      <c r="C18" s="104"/>
      <c r="D18" s="23">
        <f>SUM(D8:D17)</f>
        <v>1045000</v>
      </c>
      <c r="E18" s="13">
        <f>SUM(E8:E17)</f>
        <v>373895</v>
      </c>
      <c r="F18" s="13">
        <f>SUM(F8:F17)</f>
        <v>368632.5</v>
      </c>
      <c r="G18" s="13">
        <f>SUM(G8:G17)</f>
        <v>742527.5</v>
      </c>
    </row>
    <row r="19" spans="1:7" x14ac:dyDescent="0.5">
      <c r="C19" s="19"/>
      <c r="D19" s="24"/>
    </row>
    <row r="20" spans="1:7" x14ac:dyDescent="0.5">
      <c r="A20" s="101"/>
      <c r="B20" s="102"/>
      <c r="C20" s="102"/>
      <c r="D20" s="102"/>
      <c r="E20" s="102"/>
      <c r="F20" s="102"/>
      <c r="G20" s="102"/>
    </row>
    <row r="21" spans="1:7" x14ac:dyDescent="0.5">
      <c r="A21" s="101"/>
      <c r="B21" s="102"/>
      <c r="C21" s="102"/>
      <c r="D21" s="102"/>
      <c r="E21" s="102"/>
      <c r="F21" s="102"/>
      <c r="G21" s="102"/>
    </row>
    <row r="22" spans="1:7" x14ac:dyDescent="0.5">
      <c r="C22" s="114"/>
      <c r="D22" s="114"/>
      <c r="E22" s="114"/>
    </row>
  </sheetData>
  <mergeCells count="12">
    <mergeCell ref="C22:E22"/>
    <mergeCell ref="A18:C18"/>
    <mergeCell ref="A20:G20"/>
    <mergeCell ref="A21:G21"/>
    <mergeCell ref="A1:G1"/>
    <mergeCell ref="A2:G2"/>
    <mergeCell ref="A3:G3"/>
    <mergeCell ref="A5:A7"/>
    <mergeCell ref="B5:B7"/>
    <mergeCell ref="C5:C7"/>
    <mergeCell ref="D5:D7"/>
    <mergeCell ref="E5:F5"/>
  </mergeCells>
  <pageMargins left="0.84635416666666663" right="0.23622047244094491" top="0.533854166666666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2</vt:i4>
      </vt:variant>
    </vt:vector>
  </HeadingPairs>
  <TitlesOfParts>
    <vt:vector size="27" baseType="lpstr">
      <vt:lpstr>จ่ายจากงบกลาง</vt:lpstr>
      <vt:lpstr>จ่ายแผนงานรักษาความสงบภายใน</vt:lpstr>
      <vt:lpstr>แผนงานการศึกษา</vt:lpstr>
      <vt:lpstr>แผนงานสาธารณสุข</vt:lpstr>
      <vt:lpstr>แผนงานสังคมสงเคราะห์</vt:lpstr>
      <vt:lpstr>แผนงานอุตสาหกรรม</vt:lpstr>
      <vt:lpstr>แผนงานเคหะฯ</vt:lpstr>
      <vt:lpstr>แผนงานสร้างความเข็มแข็ง</vt:lpstr>
      <vt:lpstr>แผนงานศาสนาฯ</vt:lpstr>
      <vt:lpstr>แผนงานการเกษตร</vt:lpstr>
      <vt:lpstr>แผนงานการพาณิชย์</vt:lpstr>
      <vt:lpstr>จ่ายแผนงานบริหารฯ</vt:lpstr>
      <vt:lpstr>รายงานรวมตามแผนงาน</vt:lpstr>
      <vt:lpstr>งบแสดงผลการดำเนินงานไตรมาส3</vt:lpstr>
      <vt:lpstr>Sheet5 (2)</vt:lpstr>
      <vt:lpstr>Sheet5</vt:lpstr>
      <vt:lpstr>รายงานจ่ายจากเงินสะสม</vt:lpstr>
      <vt:lpstr>รายงานจ่ายจากเงินอุดหนุนเฉพาะกิ</vt:lpstr>
      <vt:lpstr>งบแสดงผลการดำเนินงานรวม</vt:lpstr>
      <vt:lpstr>รายงานจ่ายจากเงินทุนสะสม </vt:lpstr>
      <vt:lpstr>Sheet1</vt:lpstr>
      <vt:lpstr>Sheet2</vt:lpstr>
      <vt:lpstr>Sheet3</vt:lpstr>
      <vt:lpstr>Sheet4</vt:lpstr>
      <vt:lpstr>Sheet6</vt:lpstr>
      <vt:lpstr>งบแสดงผลการดำเนินงานไตรมาส3!Print_Area</vt:lpstr>
      <vt:lpstr>งบแสดงผลการดำเนินงานรวม!Print_Area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2019-06-28T10:34:18Z</cp:lastPrinted>
  <dcterms:created xsi:type="dcterms:W3CDTF">2015-10-06T02:23:33Z</dcterms:created>
  <dcterms:modified xsi:type="dcterms:W3CDTF">2019-06-28T10:39:42Z</dcterms:modified>
</cp:coreProperties>
</file>