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5" windowWidth="11475" windowHeight="5775" tabRatio="961" activeTab="5"/>
  </bookViews>
  <sheets>
    <sheet name="งบทดลอง ประจำเดือน" sheetId="1" r:id="rId1"/>
    <sheet name="งบรับ-จ่าย ประจำเดือน " sheetId="2" r:id="rId2"/>
    <sheet name="หมายเหตุประกอบรายงานรับ-จ่าย" sheetId="3" r:id="rId3"/>
    <sheet name="จ่ายจากเงินรายได้ " sheetId="4" r:id="rId4"/>
    <sheet name="จ่ายจากเงินสะสม" sheetId="5" r:id="rId5"/>
    <sheet name="จ่ายจากเงินอุดหนุน " sheetId="6" r:id="rId6"/>
    <sheet name="งบทดลอง(เทียบรายได้คงเหลือ)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<sst xmlns="http://schemas.openxmlformats.org/spreadsheetml/2006/main" count="354" uniqueCount="209">
  <si>
    <t xml:space="preserve">                                                 รายการ</t>
  </si>
  <si>
    <t xml:space="preserve">  รหัสบัญชี</t>
  </si>
  <si>
    <t>เดบิต</t>
  </si>
  <si>
    <t>เครดิต</t>
  </si>
  <si>
    <t>เงินสด</t>
  </si>
  <si>
    <t>010</t>
  </si>
  <si>
    <t>เงินฝากธนาคาร ประเภท  -    ออมทรัพย์</t>
  </si>
  <si>
    <t>022</t>
  </si>
  <si>
    <t>023</t>
  </si>
  <si>
    <t xml:space="preserve"> -</t>
  </si>
  <si>
    <t>ลูกหนี้เงินยืมเงินงบประมาณ</t>
  </si>
  <si>
    <t>090</t>
  </si>
  <si>
    <t>ลูกหนี้เงินยืมเงินสะสม</t>
  </si>
  <si>
    <t>704</t>
  </si>
  <si>
    <t>รายได้ค้างรับ</t>
  </si>
  <si>
    <t>XX</t>
  </si>
  <si>
    <t>เงินเดือน</t>
  </si>
  <si>
    <t>100</t>
  </si>
  <si>
    <t>ค่าจ้างประจำ</t>
  </si>
  <si>
    <t>120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</si>
  <si>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</si>
  <si>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</si>
  <si>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</si>
  <si>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</si>
  <si>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</si>
  <si>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</si>
  <si>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</si>
  <si>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</si>
  <si>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</si>
  <si>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</si>
  <si>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ค่าครุภัณฑ์</t>
  </si>
  <si>
    <t>450</t>
  </si>
  <si>
    <t>ค่าที่ดินและสิ่งก่อสร้าง</t>
  </si>
  <si>
    <t>500</t>
  </si>
  <si>
    <t>งบกลาง</t>
  </si>
  <si>
    <t>000</t>
  </si>
  <si>
    <t>รายจ่ายอื่น</t>
  </si>
  <si>
    <t>550</t>
  </si>
  <si>
    <t>เงินอุดหนุน</t>
  </si>
  <si>
    <t>400</t>
  </si>
  <si>
    <t>รายรับ</t>
  </si>
  <si>
    <t>821</t>
  </si>
  <si>
    <t>เงินรับฝาก (หมายเหตุ 1)</t>
  </si>
  <si>
    <t>900</t>
  </si>
  <si>
    <t>602</t>
  </si>
  <si>
    <t>รายจ่ายค้างจ่าย</t>
  </si>
  <si>
    <t>เงินสะสม</t>
  </si>
  <si>
    <t>700</t>
  </si>
  <si>
    <t xml:space="preserve">                                                                                        บัญชีเงินรับฝาก</t>
  </si>
  <si>
    <t xml:space="preserve">                                          รายการ</t>
  </si>
  <si>
    <t xml:space="preserve">          จำนวนเงิน</t>
  </si>
  <si>
    <t>เงินมัดจำประกันสัญญา</t>
  </si>
  <si>
    <t>ค่าใช้จ่าย ภบท 5%</t>
  </si>
  <si>
    <t>ส่วนลด ภบท  6 %</t>
  </si>
  <si>
    <t>ภาษีหัก   ณ  ที่จ่าย</t>
  </si>
  <si>
    <t xml:space="preserve"> </t>
  </si>
  <si>
    <t xml:space="preserve">                                             รายการ </t>
  </si>
  <si>
    <t xml:space="preserve">         จำนวนเงิน</t>
  </si>
  <si>
    <t xml:space="preserve">                        </t>
  </si>
  <si>
    <t xml:space="preserve">               </t>
  </si>
  <si>
    <t xml:space="preserve">                                  </t>
  </si>
  <si>
    <t xml:space="preserve">                                          </t>
  </si>
  <si>
    <t xml:space="preserve">                                                     </t>
  </si>
  <si>
    <t>เงินทุนสำรองเงินสะสม</t>
  </si>
  <si>
    <t>ดอกเบี้ยเงินฝากธนาคาร  (ถ่ายโอน)</t>
  </si>
  <si>
    <t xml:space="preserve">                                                                          องค์การบริหารส่วนตำบลช้างซ้าย</t>
  </si>
  <si>
    <t xml:space="preserve">                                                                                          งบทดลอง</t>
  </si>
  <si>
    <t>รายจ่ายรอจ่าย (เงินเพิ่มพิเศษ ฯ)</t>
  </si>
  <si>
    <t>600</t>
  </si>
  <si>
    <t>องค์การบริหารส่วนตำบลช้างซ้าย</t>
  </si>
  <si>
    <t xml:space="preserve">อำเภอพระพรหม      จังหวัดนครศรีธรรมราช              </t>
  </si>
  <si>
    <t>ปีงบประมาณ…………………………</t>
  </si>
  <si>
    <t xml:space="preserve">                              จนถึงปัจจุบัน</t>
  </si>
  <si>
    <t>รหัส</t>
  </si>
  <si>
    <t>เดือนนี้</t>
  </si>
  <si>
    <t xml:space="preserve">       ประมาณการ</t>
  </si>
  <si>
    <t xml:space="preserve">          เกิดขึ้นจริง</t>
  </si>
  <si>
    <t>รายการ</t>
  </si>
  <si>
    <t>บัญชี</t>
  </si>
  <si>
    <t>เกิดขึ้นจริง</t>
  </si>
  <si>
    <t xml:space="preserve">            บาท</t>
  </si>
  <si>
    <t xml:space="preserve">               บาท</t>
  </si>
  <si>
    <t>บาท</t>
  </si>
  <si>
    <t>ยอดยกมา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</si>
  <si>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</si>
  <si>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</si>
  <si>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</si>
  <si>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</si>
  <si>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เงินอุดหนุนเฉพาะกิจ</t>
  </si>
  <si>
    <t>เงินรับฝาก  (หมายเหตุ 1)</t>
  </si>
  <si>
    <t>บัญชีภาษีหักหน้าฏีกา</t>
  </si>
  <si>
    <t>เงินยืมเงินงบประมาณ</t>
  </si>
  <si>
    <t>รายจ่ายรอจ่าย</t>
  </si>
  <si>
    <t xml:space="preserve">                            รวมรายรับ</t>
  </si>
  <si>
    <t xml:space="preserve">                                        จนถึงปัจจุบัน</t>
  </si>
  <si>
    <t>ประมาณการ</t>
  </si>
  <si>
    <t>รายจ่าย</t>
  </si>
  <si>
    <t>5270</t>
  </si>
  <si>
    <t>5450</t>
  </si>
  <si>
    <t>5500</t>
  </si>
  <si>
    <t xml:space="preserve">             รวมรายจ่าย</t>
  </si>
  <si>
    <t xml:space="preserve">                               สูงกว่า</t>
  </si>
  <si>
    <t xml:space="preserve">              รายรับ                    รายจ่าย</t>
  </si>
  <si>
    <t xml:space="preserve">                                                                       บัญชีเงินรับฝาก</t>
  </si>
  <si>
    <t xml:space="preserve">                                           รายการ</t>
  </si>
  <si>
    <t>จำนวนเงิน</t>
  </si>
  <si>
    <t>ภาษีหัก  ณ  ที่จ่าย</t>
  </si>
  <si>
    <t>ค่าใช้จ่ายในการจัดเก็บภาษีบำรุงท้องที่   5 %</t>
  </si>
  <si>
    <t>ส่วนลดในการจัดเก็บภาษีบำรุงท้องที่   6  %</t>
  </si>
  <si>
    <t>เงินอุดหนุน โครงการเศรษฐกิจ</t>
  </si>
  <si>
    <t>เงินอุดหนุน โครงการถ่ายโอน</t>
  </si>
  <si>
    <t xml:space="preserve">                                                                      บัญชีเงินรับฝาก</t>
  </si>
  <si>
    <t>ส่วนลดในการจัดเก็บภาษีบำรุงท้องที่   6 %</t>
  </si>
  <si>
    <t>รายจ่ายจากเงินอุดหนุนการกระจายอำนาจฯ</t>
  </si>
  <si>
    <t>หมวด</t>
  </si>
  <si>
    <t>ครุภัณฑ์</t>
  </si>
  <si>
    <t>ที่ดินและสิ่งก่อสร้าง</t>
  </si>
  <si>
    <t>รวมเดือนนี้</t>
  </si>
  <si>
    <t>รวมแต่ต้นปี</t>
  </si>
  <si>
    <t>รายจ่ายจากเงินสะสม</t>
  </si>
  <si>
    <t>หน่วยงานภาคีเครือข่ายจัดการ กศน. อบต.ช้างซ้าย</t>
  </si>
  <si>
    <t xml:space="preserve">                -</t>
  </si>
  <si>
    <t>โครงการหน่วยงานภาคีเครือข่าย กศน. อบต.ช้างซ้าย</t>
  </si>
  <si>
    <t>เบิกเหลื่อมปี</t>
  </si>
  <si>
    <t>ลูกหนี้เงินยืม เงินงบประมาณ</t>
  </si>
  <si>
    <t>บัญชีภาษีหน้าฏีกา</t>
  </si>
  <si>
    <t>บัญชีรายจ่ายรอจ่าย</t>
  </si>
  <si>
    <t>เงินสะสมยอกยกมา</t>
  </si>
  <si>
    <t>เงินสะสมคงเหลือ</t>
  </si>
  <si>
    <t>หมายเหตุ :</t>
  </si>
  <si>
    <t>รวมจ่ายขาดตั้งแต่ต้นปี</t>
  </si>
  <si>
    <t>เงินเดือนฝ่ายประจำ</t>
  </si>
  <si>
    <t>เงินเดือนฝ่ายการเมือง</t>
  </si>
  <si>
    <t>เงินเดือน (ฝ่ายการเมือง)</t>
  </si>
  <si>
    <t>เงินเดือน(ฝ่ายประจำ)</t>
  </si>
  <si>
    <t>รายจ่ายจากเงินรายได้</t>
  </si>
  <si>
    <t>เงินเดือน(ฝ่ายการเมือง)</t>
  </si>
  <si>
    <t>งบบุคคลากร</t>
  </si>
  <si>
    <t>งบดำเนินงาน</t>
  </si>
  <si>
    <t>งบลงทุน</t>
  </si>
  <si>
    <t>งบเงินอุดหนุน</t>
  </si>
  <si>
    <t xml:space="preserve">เบิกเหลื่อมปี </t>
  </si>
  <si>
    <t>เงินรับฝากรายรับ</t>
  </si>
  <si>
    <t>ยอดรวมเงินฝาก+ลูกหนี้เงินยืมที่เหลือ+รายได้ค้างรับ+รายจ่ายประจำเดือนดูจากงบรับจ่าย ส่วนแรกที่จ่าย</t>
  </si>
  <si>
    <t>เงินฝากเดบิต บวก ภาษีหักณที่จ่าย ประจำเดือนบวกส่งใช้เงินยืมประจำเดือน</t>
  </si>
  <si>
    <t>(รับเงินสะสมระหว่างปี)</t>
  </si>
  <si>
    <t xml:space="preserve">                                                                           บัญชีเงินอุดหนุนเฉพาะกิจ</t>
  </si>
  <si>
    <t>(ยอดส่งใช้เงินยืม) (ลูกหนี้เงินยืมด้าน เครดิต)</t>
  </si>
  <si>
    <t>(ยอดเงินยืมที่ไห้ยืมในเดือน , ยอดลูกหนี้ด้านเดบิต)</t>
  </si>
  <si>
    <t>ค่าขายแบบแปลนโครงการไทยเข้มแข็งฯ</t>
  </si>
  <si>
    <t>เงินอุดหนุนทั่วไป(ไทยเข้มแข็ง)</t>
  </si>
  <si>
    <t>งบทดลอง</t>
  </si>
  <si>
    <t>เงินฝากธนาคาร</t>
  </si>
  <si>
    <t>เงินอุดหนุนค้างจ่าย</t>
  </si>
  <si>
    <t>เงินรับฝากบัญชี</t>
  </si>
  <si>
    <t>ค่าปรับผิดสัญญา  โครงการไทยเข้มแข็งฯ</t>
  </si>
  <si>
    <t>ค่าปรับผิดสัญญา โครงการไทยเข้มแข็งฯ</t>
  </si>
  <si>
    <t>เงินรับฝาก (หมายเหตุ 2)</t>
  </si>
  <si>
    <t>3002</t>
  </si>
  <si>
    <t>โครงการ เศรษฐกิจชุมชน</t>
  </si>
  <si>
    <t>เงินอุดหนุนเฉพาะกิจ   (สนับสนุนศูนย์พัฒนาเด็กเล็ก)</t>
  </si>
  <si>
    <t>ยอดตรงกับรายงานสถานะการเงินฯ (ยอดรวมทั้งหมด)(รวมเงินสดในมือด้วย)</t>
  </si>
  <si>
    <t>ณ วันที่   30   มิถุนายน    พ.ศ.  2554</t>
  </si>
  <si>
    <t>รายได้คงเหลือที่สามารถจ่ายได้</t>
  </si>
  <si>
    <r>
      <t>รายรับ</t>
    </r>
    <r>
      <rPr>
        <b/>
        <sz val="16"/>
        <rFont val="AngsanaUPC"/>
        <family val="1"/>
      </rPr>
      <t xml:space="preserve">   </t>
    </r>
  </si>
  <si>
    <t>เงินอุดหนุนเฉพาะกิจ   (เบี้ยยังชีพคนชรา)</t>
  </si>
  <si>
    <t>เงินอุดหนุนเฉพาะกิจ   (เบี้ยยังชีพคนพิการ)</t>
  </si>
  <si>
    <t>เงินอุดหนุนเฉพาะกิจ    (ศูนย์พัฒนาครอบครัวในชุมชนตำบลช้างซ้าย)</t>
  </si>
  <si>
    <t>(ลงชื่อ)..................................                        (ลงชื่อ).......................................                             (ลงชื่อ)............................................</t>
  </si>
  <si>
    <t xml:space="preserve">                               (ต่ำกว่า)</t>
  </si>
  <si>
    <t xml:space="preserve">              ยอดยกไป</t>
  </si>
  <si>
    <t>เงินอุดหนุนเฉพาะกิจ  (หมายเหตุ 2 )</t>
  </si>
  <si>
    <t>เงินฝากธนาคาร ประเภท  -    กระแสรายวัน</t>
  </si>
  <si>
    <t xml:space="preserve">            ธนาคารเพื่อการเกษตรฯ   015-0-68123-4           710,258.43</t>
  </si>
  <si>
    <t xml:space="preserve">   รายงาน  รับ - จ่าย   </t>
  </si>
  <si>
    <r>
      <t xml:space="preserve">   </t>
    </r>
    <r>
      <rPr>
        <b/>
        <sz val="18"/>
        <rFont val="AngsanaUPC"/>
        <family val="1"/>
      </rPr>
      <t xml:space="preserve">                                                         ปีงบประมาณ    2555</t>
    </r>
  </si>
  <si>
    <t>ค่าธรรมเนียมค่าปรับและใบอนุญาต</t>
  </si>
  <si>
    <t>รายได้จากสาธารณูปโภค</t>
  </si>
  <si>
    <t xml:space="preserve">(ลงชื่อ)..................................               (ลงชื่อ).......................................                        (ลงชื่อ).............................................                    </t>
  </si>
  <si>
    <t xml:space="preserve">(ลงชื่อ).......................................           (ลงชื่อ).......................................                      (ลงชื่อ).............................................                    </t>
  </si>
  <si>
    <t xml:space="preserve">            ธนาคารกรุงไทย               801-0-58208-5             25,378.36</t>
  </si>
  <si>
    <t xml:space="preserve">            ธนาคารกรุงไทย               801-0-15603-5           123,532.77</t>
  </si>
  <si>
    <t xml:space="preserve">            ธนาคารกรุงไทย               801-0-14298-0        1,222,343.28</t>
  </si>
  <si>
    <t xml:space="preserve">             ธนาคารกรุงไทย              801-6-06572-4      23,431,683.06</t>
  </si>
  <si>
    <t xml:space="preserve"> - </t>
  </si>
  <si>
    <t xml:space="preserve">            ธนาคารกรุงไทย               801-0-11500-2      9,370,788.71</t>
  </si>
  <si>
    <t xml:space="preserve">                                                                              ณ   วันที่  30   เมษายน   2555</t>
  </si>
  <si>
    <t>หมายเหตุ  1    ประกอบงบทดลอง  ณ       วันที่    30  เมษายน   2555</t>
  </si>
  <si>
    <t>หมายเหตุ 2   ประกอบงบทดลอง    ณ วันที่     30  เมษายน    2555</t>
  </si>
  <si>
    <t xml:space="preserve">         (นางสำลี    ศิริโรจน์)                                     (นายสรศักดิ์   คงเมือง)                                       (นายชูศักดิ์     เภรีฤกษ์)    </t>
  </si>
  <si>
    <t xml:space="preserve">         หัวหน้าส่วนการคลัง                       ปลัดองค์การบริหารส่วนตำบลช้างซ้าย                นายกองค์การบริหารส่วนตำบลช้างซ้าย</t>
  </si>
  <si>
    <t xml:space="preserve">         (นางสำลี    ศิริโรจน์)                                     (นายสรศักดิ์    คงเมือง)                                       (นายชูศักดิ์     เภรีฤกษ์)    </t>
  </si>
  <si>
    <t xml:space="preserve">         หัวหน้าส่วนการคลัง                         ปลัดองค์การบริหารส่วนตำบลช้างซ้าย              นายกองค์การบริหารส่วนตำบลช้างซ้าย</t>
  </si>
  <si>
    <t xml:space="preserve">                          ณ    วันที่    30   เมษายน   พ.ศ.  2555</t>
  </si>
  <si>
    <t>หมายเหตุ   2         ประกอบรายงาน   จ่ายเงินสด     ณ  วันที่     30   เมษายน   2555</t>
  </si>
  <si>
    <t>หมายเหตุ   1         ประกอบรายงาน  รับ เงินสด     ณ  วันที่     30    เมษายน    2555</t>
  </si>
  <si>
    <t xml:space="preserve">       (นางสำลี   ศิริโรจน์)                          (นายสรศักดิ์     คงเมือง)                                 (นายชูศักดิ์    เภรีฤกษ์)                   </t>
  </si>
  <si>
    <t xml:space="preserve">               (นางสำลี   ศิริโรจน์)                          (นายสรศักดิ์     คงเมือง)                                 (นายชูศักดิ์    เภรีฤกษ์)                   </t>
  </si>
  <si>
    <t xml:space="preserve">      หัวหน้าส่วนการคลัง             ปลัดองค์การบริหารส่วนตำบลช้างซ้าย       นายกองค์การบริหารส่วนตำบลช้างซ้าย</t>
  </si>
  <si>
    <t xml:space="preserve">     หัวหน้าส่วนการคลัง            ปลัดองค์การบริหารส่วนตำบลช้างซ้าย       นายกองค์การบริหารส่วนตำบลช้างซ้าย</t>
  </si>
  <si>
    <t>ประจำเดือน   เมษายน    พ.ศ.  2555</t>
  </si>
  <si>
    <t>รับจริง     ณ  30  เมษายน  2555</t>
  </si>
  <si>
    <t>จ่ายจริง   ณ  30  เมษายน  2555</t>
  </si>
  <si>
    <t>คงเหลือ  ณ  30  เมษายน  2555</t>
  </si>
  <si>
    <t>ประจำเดือน  เมษายน  พ.ศ.  2555</t>
  </si>
  <si>
    <t>ประจำเดือน   เมษายน   พ.ศ.  2555</t>
  </si>
  <si>
    <t>รับจริง     ณ  30  เมษายน   2555</t>
  </si>
  <si>
    <t>จ่ายจริง   ณ  30  เมษายน   2555</t>
  </si>
  <si>
    <t>คงเหลือ  ณ  30  เมษายน   2555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</si>
</sst>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"/>
    <numFmt numFmtId="200" formatCode="0.000"/>
    <numFmt numFmtId="201" formatCode="_-* #,##0.0_-;\-* #,##0.0_-;_-* &quot;-&quot;??_-;_-@_-"/>
    <numFmt numFmtId="202" formatCode="_-* #,##0_-;\-* #,##0_-;_-* &quot;-&quot;??_-;_-@_-"/>
    <numFmt numFmtId="203" formatCode="0_ ;\-0\ "/>
    <numFmt numFmtId="204" formatCode="0\90"/>
    <numFmt numFmtId="205" formatCode="0000000"/>
    <numFmt numFmtId="206" formatCode="0000"/>
    <numFmt numFmtId="207" formatCode="000"/>
    <numFmt numFmtId="208" formatCode="0\100"/>
    <numFmt numFmtId="209" formatCode="#,##0_ ;\-#,##0\ "/>
    <numFmt numFmtId="210" formatCode="_-* #,##0.000_-;\-* #,##0.000_-;_-* &quot;-&quot;??_-;_-@_-"/>
    <numFmt numFmtId="211" formatCode="_-* #,##0.0000_-;\-* #,##0.0000_-;_-* &quot;-&quot;??_-;_-@_-"/>
    <numFmt numFmtId="212" formatCode="#,##0.0"/>
    <numFmt numFmtId="213" formatCode="0.0"/>
  </numFmts>
  <fonts count="24">
    <font>
      <sz val="14"/>
      <name val="Cordia New"/>
      <family val="0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b/>
      <sz val="18"/>
      <name val="AngsanaUPC"/>
      <family val="1"/>
    </font>
    <font>
      <sz val="8"/>
      <name val="Cordia New"/>
      <family val="0"/>
    </font>
    <font>
      <sz val="10"/>
      <name val="AngsanaUPC"/>
      <family val="1"/>
    </font>
    <font>
      <b/>
      <sz val="15"/>
      <name val="AngsanaUPC"/>
      <family val="1"/>
    </font>
    <font>
      <sz val="20"/>
      <name val="AngsanaUPC"/>
      <family val="1"/>
    </font>
    <font>
      <sz val="16"/>
      <name val="Angsana New"/>
      <family val="1"/>
    </font>
    <font>
      <sz val="10"/>
      <name val="Arial"/>
      <family val="0"/>
    </font>
    <font>
      <b/>
      <sz val="18"/>
      <name val="Angsana New"/>
      <family val="1"/>
    </font>
    <font>
      <sz val="17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7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8"/>
      <name val="AngsanaUPC"/>
      <family val="1"/>
    </font>
    <font>
      <b/>
      <sz val="16"/>
      <name val="Angsana New"/>
      <family val="1"/>
    </font>
    <font>
      <b/>
      <u val="single"/>
      <sz val="16"/>
      <name val="AngsanaUPC"/>
      <family val="1"/>
    </font>
    <font>
      <sz val="18"/>
      <name val="Cordia New"/>
      <family val="0"/>
    </font>
    <font>
      <sz val="10"/>
      <name val="Cordia New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0" xfId="0" applyNumberFormat="1" applyFont="1" applyAlignment="1">
      <alignment/>
    </xf>
    <xf numFmtId="41" fontId="2" fillId="0" borderId="0" xfId="17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206" fontId="2" fillId="0" borderId="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7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202" fontId="2" fillId="0" borderId="0" xfId="17" applyNumberFormat="1" applyFont="1" applyAlignment="1">
      <alignment/>
    </xf>
    <xf numFmtId="202" fontId="4" fillId="0" borderId="0" xfId="17" applyNumberFormat="1" applyFont="1" applyAlignment="1">
      <alignment/>
    </xf>
    <xf numFmtId="43" fontId="2" fillId="0" borderId="0" xfId="17" applyNumberFormat="1" applyFont="1" applyAlignment="1">
      <alignment/>
    </xf>
    <xf numFmtId="43" fontId="2" fillId="0" borderId="14" xfId="17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17" applyNumberFormat="1" applyFont="1" applyAlignment="1">
      <alignment horizontal="center"/>
    </xf>
    <xf numFmtId="43" fontId="4" fillId="0" borderId="0" xfId="17" applyFont="1" applyAlignment="1">
      <alignment/>
    </xf>
    <xf numFmtId="0" fontId="2" fillId="0" borderId="0" xfId="0" applyFont="1" applyAlignment="1">
      <alignment horizontal="left"/>
    </xf>
    <xf numFmtId="43" fontId="2" fillId="0" borderId="4" xfId="17" applyFont="1" applyBorder="1" applyAlignment="1">
      <alignment horizontal="center"/>
    </xf>
    <xf numFmtId="43" fontId="2" fillId="0" borderId="4" xfId="17" applyFont="1" applyBorder="1" applyAlignment="1">
      <alignment horizontal="right"/>
    </xf>
    <xf numFmtId="43" fontId="2" fillId="0" borderId="4" xfId="17" applyFont="1" applyBorder="1" applyAlignment="1">
      <alignment/>
    </xf>
    <xf numFmtId="43" fontId="2" fillId="0" borderId="3" xfId="17" applyFont="1" applyBorder="1" applyAlignment="1">
      <alignment/>
    </xf>
    <xf numFmtId="43" fontId="2" fillId="0" borderId="16" xfId="17" applyFont="1" applyBorder="1" applyAlignment="1">
      <alignment/>
    </xf>
    <xf numFmtId="43" fontId="2" fillId="0" borderId="4" xfId="17" applyNumberFormat="1" applyFont="1" applyBorder="1" applyAlignment="1">
      <alignment horizontal="right"/>
    </xf>
    <xf numFmtId="43" fontId="2" fillId="0" borderId="3" xfId="17" applyNumberFormat="1" applyFont="1" applyBorder="1" applyAlignment="1">
      <alignment horizontal="right"/>
    </xf>
    <xf numFmtId="43" fontId="2" fillId="0" borderId="17" xfId="17" applyNumberFormat="1" applyFont="1" applyBorder="1" applyAlignment="1">
      <alignment horizontal="right"/>
    </xf>
    <xf numFmtId="43" fontId="2" fillId="0" borderId="16" xfId="17" applyNumberFormat="1" applyFont="1" applyBorder="1" applyAlignment="1">
      <alignment horizontal="right"/>
    </xf>
    <xf numFmtId="43" fontId="2" fillId="0" borderId="4" xfId="17" applyNumberFormat="1" applyFont="1" applyBorder="1" applyAlignment="1">
      <alignment horizontal="left"/>
    </xf>
    <xf numFmtId="43" fontId="2" fillId="0" borderId="16" xfId="17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43" fontId="2" fillId="0" borderId="13" xfId="17" applyFont="1" applyBorder="1" applyAlignment="1">
      <alignment/>
    </xf>
    <xf numFmtId="43" fontId="2" fillId="0" borderId="5" xfId="17" applyFont="1" applyBorder="1" applyAlignment="1">
      <alignment horizontal="right"/>
    </xf>
    <xf numFmtId="43" fontId="2" fillId="0" borderId="6" xfId="17" applyFont="1" applyBorder="1" applyAlignment="1">
      <alignment/>
    </xf>
    <xf numFmtId="43" fontId="2" fillId="0" borderId="19" xfId="17" applyFont="1" applyBorder="1" applyAlignment="1">
      <alignment/>
    </xf>
    <xf numFmtId="43" fontId="2" fillId="0" borderId="11" xfId="17" applyFont="1" applyBorder="1" applyAlignment="1">
      <alignment/>
    </xf>
    <xf numFmtId="43" fontId="2" fillId="0" borderId="20" xfId="17" applyFont="1" applyBorder="1" applyAlignment="1">
      <alignment/>
    </xf>
    <xf numFmtId="43" fontId="2" fillId="0" borderId="3" xfId="17" applyFont="1" applyBorder="1" applyAlignment="1">
      <alignment horizontal="center"/>
    </xf>
    <xf numFmtId="43" fontId="2" fillId="0" borderId="1" xfId="17" applyFont="1" applyBorder="1" applyAlignment="1">
      <alignment/>
    </xf>
    <xf numFmtId="43" fontId="2" fillId="0" borderId="0" xfId="17" applyFont="1" applyBorder="1" applyAlignment="1">
      <alignment/>
    </xf>
    <xf numFmtId="43" fontId="2" fillId="0" borderId="21" xfId="17" applyFont="1" applyBorder="1" applyAlignment="1">
      <alignment/>
    </xf>
    <xf numFmtId="43" fontId="2" fillId="0" borderId="0" xfId="17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43" fontId="2" fillId="0" borderId="0" xfId="17" applyFont="1" applyBorder="1" applyAlignment="1">
      <alignment horizontal="center"/>
    </xf>
    <xf numFmtId="43" fontId="2" fillId="0" borderId="5" xfId="17" applyFont="1" applyBorder="1" applyAlignment="1">
      <alignment horizontal="center"/>
    </xf>
    <xf numFmtId="43" fontId="2" fillId="0" borderId="5" xfId="17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43" fontId="2" fillId="0" borderId="23" xfId="17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" xfId="0" applyFont="1" applyBorder="1" applyAlignment="1">
      <alignment/>
    </xf>
    <xf numFmtId="43" fontId="4" fillId="0" borderId="24" xfId="17" applyFont="1" applyBorder="1" applyAlignment="1">
      <alignment/>
    </xf>
    <xf numFmtId="43" fontId="4" fillId="0" borderId="4" xfId="17" applyFont="1" applyBorder="1" applyAlignment="1">
      <alignment horizontal="right"/>
    </xf>
    <xf numFmtId="43" fontId="4" fillId="0" borderId="4" xfId="17" applyFont="1" applyBorder="1" applyAlignment="1">
      <alignment horizontal="center"/>
    </xf>
    <xf numFmtId="43" fontId="4" fillId="0" borderId="16" xfId="17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202" fontId="7" fillId="0" borderId="0" xfId="17" applyNumberFormat="1" applyFont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43" fontId="0" fillId="0" borderId="0" xfId="0" applyNumberFormat="1" applyAlignment="1">
      <alignment/>
    </xf>
    <xf numFmtId="43" fontId="2" fillId="0" borderId="0" xfId="17" applyFont="1" applyAlignment="1">
      <alignment/>
    </xf>
    <xf numFmtId="43" fontId="3" fillId="0" borderId="9" xfId="17" applyFont="1" applyBorder="1" applyAlignment="1">
      <alignment/>
    </xf>
    <xf numFmtId="43" fontId="8" fillId="0" borderId="0" xfId="17" applyFont="1" applyAlignment="1">
      <alignment/>
    </xf>
    <xf numFmtId="43" fontId="8" fillId="0" borderId="0" xfId="0" applyNumberFormat="1" applyFont="1" applyAlignment="1">
      <alignment/>
    </xf>
    <xf numFmtId="43" fontId="4" fillId="0" borderId="0" xfId="17" applyFont="1" applyFill="1" applyAlignment="1">
      <alignment/>
    </xf>
    <xf numFmtId="202" fontId="4" fillId="0" borderId="0" xfId="17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43" fontId="9" fillId="0" borderId="0" xfId="17" applyFont="1" applyAlignment="1">
      <alignment/>
    </xf>
    <xf numFmtId="0" fontId="10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43" fontId="10" fillId="0" borderId="4" xfId="17" applyFont="1" applyBorder="1" applyAlignment="1">
      <alignment/>
    </xf>
    <xf numFmtId="43" fontId="10" fillId="0" borderId="16" xfId="17" applyFont="1" applyBorder="1" applyAlignment="1">
      <alignment/>
    </xf>
    <xf numFmtId="3" fontId="10" fillId="0" borderId="0" xfId="0" applyNumberFormat="1" applyFont="1" applyBorder="1" applyAlignment="1">
      <alignment/>
    </xf>
    <xf numFmtId="0" fontId="13" fillId="0" borderId="0" xfId="22" applyFont="1">
      <alignment/>
      <protection/>
    </xf>
    <xf numFmtId="0" fontId="14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6" fillId="0" borderId="0" xfId="22" applyFont="1">
      <alignment/>
      <protection/>
    </xf>
    <xf numFmtId="194" fontId="13" fillId="0" borderId="0" xfId="19" applyFont="1" applyAlignment="1">
      <alignment/>
    </xf>
    <xf numFmtId="194" fontId="13" fillId="0" borderId="14" xfId="19" applyFont="1" applyBorder="1" applyAlignment="1">
      <alignment/>
    </xf>
    <xf numFmtId="43" fontId="3" fillId="0" borderId="0" xfId="17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3" xfId="0" applyFont="1" applyBorder="1" applyAlignment="1">
      <alignment/>
    </xf>
    <xf numFmtId="0" fontId="2" fillId="0" borderId="0" xfId="0" applyFont="1" applyAlignment="1">
      <alignment/>
    </xf>
    <xf numFmtId="43" fontId="2" fillId="0" borderId="14" xfId="17" applyFont="1" applyBorder="1" applyAlignment="1">
      <alignment horizontal="center"/>
    </xf>
    <xf numFmtId="202" fontId="2" fillId="0" borderId="0" xfId="17" applyNumberFormat="1" applyFont="1" applyAlignment="1">
      <alignment horizontal="center"/>
    </xf>
    <xf numFmtId="43" fontId="2" fillId="0" borderId="14" xfId="17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2" fillId="0" borderId="0" xfId="17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9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17" applyFont="1" applyAlignment="1">
      <alignment horizontal="center"/>
    </xf>
    <xf numFmtId="0" fontId="12" fillId="0" borderId="0" xfId="22" applyFont="1" applyAlignment="1">
      <alignment horizontal="center"/>
      <protection/>
    </xf>
    <xf numFmtId="0" fontId="16" fillId="0" borderId="0" xfId="22" applyFont="1" applyAlignment="1">
      <alignment horizontal="center"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Book1" xfId="19"/>
    <cellStyle name="Currency" xfId="20"/>
    <cellStyle name="Currency [0]" xfId="21"/>
    <cellStyle name="ปกติ_Book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4</xdr:row>
      <xdr:rowOff>0</xdr:rowOff>
    </xdr:from>
    <xdr:to>
      <xdr:col>2</xdr:col>
      <xdr:colOff>1104900</xdr:colOff>
      <xdr:row>37</xdr:row>
      <xdr:rowOff>304800</xdr:rowOff>
    </xdr:to>
    <xdr:sp>
      <xdr:nvSpPr>
        <xdr:cNvPr id="1" name="Line 1"/>
        <xdr:cNvSpPr>
          <a:spLocks/>
        </xdr:cNvSpPr>
      </xdr:nvSpPr>
      <xdr:spPr>
        <a:xfrm>
          <a:off x="5762625" y="1352550"/>
          <a:ext cx="0" cy="1036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1038225</xdr:colOff>
      <xdr:row>4</xdr:row>
      <xdr:rowOff>0</xdr:rowOff>
    </xdr:from>
    <xdr:to>
      <xdr:col>3</xdr:col>
      <xdr:colOff>1038225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7019925" y="1352550"/>
          <a:ext cx="0" cy="1037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1104900</xdr:colOff>
      <xdr:row>48</xdr:row>
      <xdr:rowOff>9525</xdr:rowOff>
    </xdr:from>
    <xdr:to>
      <xdr:col>2</xdr:col>
      <xdr:colOff>1104900</xdr:colOff>
      <xdr:row>57</xdr:row>
      <xdr:rowOff>304800</xdr:rowOff>
    </xdr:to>
    <xdr:sp>
      <xdr:nvSpPr>
        <xdr:cNvPr id="3" name="Line 4"/>
        <xdr:cNvSpPr>
          <a:spLocks/>
        </xdr:cNvSpPr>
      </xdr:nvSpPr>
      <xdr:spPr>
        <a:xfrm>
          <a:off x="5762625" y="14668500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1104900</xdr:colOff>
      <xdr:row>85</xdr:row>
      <xdr:rowOff>0</xdr:rowOff>
    </xdr:from>
    <xdr:to>
      <xdr:col>2</xdr:col>
      <xdr:colOff>1104900</xdr:colOff>
      <xdr:row>85</xdr:row>
      <xdr:rowOff>0</xdr:rowOff>
    </xdr:to>
    <xdr:sp>
      <xdr:nvSpPr>
        <xdr:cNvPr id="4" name="Line 5"/>
        <xdr:cNvSpPr>
          <a:spLocks/>
        </xdr:cNvSpPr>
      </xdr:nvSpPr>
      <xdr:spPr>
        <a:xfrm>
          <a:off x="5762625" y="2373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1104900</xdr:colOff>
      <xdr:row>63</xdr:row>
      <xdr:rowOff>0</xdr:rowOff>
    </xdr:from>
    <xdr:to>
      <xdr:col>2</xdr:col>
      <xdr:colOff>1104900</xdr:colOff>
      <xdr:row>67</xdr:row>
      <xdr:rowOff>295275</xdr:rowOff>
    </xdr:to>
    <xdr:sp>
      <xdr:nvSpPr>
        <xdr:cNvPr id="5" name="Line 6"/>
        <xdr:cNvSpPr>
          <a:spLocks/>
        </xdr:cNvSpPr>
      </xdr:nvSpPr>
      <xdr:spPr>
        <a:xfrm>
          <a:off x="5762625" y="1922145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10</xdr:row>
      <xdr:rowOff>28575</xdr:rowOff>
    </xdr:from>
    <xdr:to>
      <xdr:col>0</xdr:col>
      <xdr:colOff>1000125</xdr:colOff>
      <xdr:row>20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000125" y="3276600"/>
          <a:ext cx="0" cy="3057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866775</xdr:colOff>
      <xdr:row>10</xdr:row>
      <xdr:rowOff>0</xdr:rowOff>
    </xdr:from>
    <xdr:to>
      <xdr:col>1</xdr:col>
      <xdr:colOff>866775</xdr:colOff>
      <xdr:row>29</xdr:row>
      <xdr:rowOff>285750</xdr:rowOff>
    </xdr:to>
    <xdr:sp>
      <xdr:nvSpPr>
        <xdr:cNvPr id="2" name="Line 2"/>
        <xdr:cNvSpPr>
          <a:spLocks/>
        </xdr:cNvSpPr>
      </xdr:nvSpPr>
      <xdr:spPr>
        <a:xfrm>
          <a:off x="2085975" y="3248025"/>
          <a:ext cx="0" cy="610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933450</xdr:colOff>
      <xdr:row>10</xdr:row>
      <xdr:rowOff>28575</xdr:rowOff>
    </xdr:from>
    <xdr:to>
      <xdr:col>7</xdr:col>
      <xdr:colOff>933450</xdr:colOff>
      <xdr:row>29</xdr:row>
      <xdr:rowOff>257175</xdr:rowOff>
    </xdr:to>
    <xdr:sp>
      <xdr:nvSpPr>
        <xdr:cNvPr id="3" name="Line 3"/>
        <xdr:cNvSpPr>
          <a:spLocks/>
        </xdr:cNvSpPr>
      </xdr:nvSpPr>
      <xdr:spPr>
        <a:xfrm>
          <a:off x="6143625" y="3276600"/>
          <a:ext cx="0" cy="604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1009650</xdr:colOff>
      <xdr:row>38</xdr:row>
      <xdr:rowOff>0</xdr:rowOff>
    </xdr:from>
    <xdr:to>
      <xdr:col>0</xdr:col>
      <xdr:colOff>1009650</xdr:colOff>
      <xdr:row>53</xdr:row>
      <xdr:rowOff>0</xdr:rowOff>
    </xdr:to>
    <xdr:sp>
      <xdr:nvSpPr>
        <xdr:cNvPr id="4" name="Line 5"/>
        <xdr:cNvSpPr>
          <a:spLocks/>
        </xdr:cNvSpPr>
      </xdr:nvSpPr>
      <xdr:spPr>
        <a:xfrm>
          <a:off x="1009650" y="11229975"/>
          <a:ext cx="0" cy="461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47625</xdr:rowOff>
    </xdr:from>
    <xdr:to>
      <xdr:col>1</xdr:col>
      <xdr:colOff>866775</xdr:colOff>
      <xdr:row>66</xdr:row>
      <xdr:rowOff>295275</xdr:rowOff>
    </xdr:to>
    <xdr:sp>
      <xdr:nvSpPr>
        <xdr:cNvPr id="5" name="Line 8"/>
        <xdr:cNvSpPr>
          <a:spLocks/>
        </xdr:cNvSpPr>
      </xdr:nvSpPr>
      <xdr:spPr>
        <a:xfrm>
          <a:off x="2085975" y="11277600"/>
          <a:ext cx="0" cy="874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933450</xdr:colOff>
      <xdr:row>38</xdr:row>
      <xdr:rowOff>47625</xdr:rowOff>
    </xdr:from>
    <xdr:to>
      <xdr:col>7</xdr:col>
      <xdr:colOff>933450</xdr:colOff>
      <xdr:row>67</xdr:row>
      <xdr:rowOff>0</xdr:rowOff>
    </xdr:to>
    <xdr:sp>
      <xdr:nvSpPr>
        <xdr:cNvPr id="6" name="Line 10"/>
        <xdr:cNvSpPr>
          <a:spLocks/>
        </xdr:cNvSpPr>
      </xdr:nvSpPr>
      <xdr:spPr>
        <a:xfrm>
          <a:off x="6143625" y="11277600"/>
          <a:ext cx="0" cy="875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19</xdr:row>
      <xdr:rowOff>285750</xdr:rowOff>
    </xdr:from>
    <xdr:to>
      <xdr:col>1</xdr:col>
      <xdr:colOff>1066800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4200525" y="5676900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1066800</xdr:colOff>
      <xdr:row>3</xdr:row>
      <xdr:rowOff>38100</xdr:rowOff>
    </xdr:from>
    <xdr:to>
      <xdr:col>1</xdr:col>
      <xdr:colOff>1066800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4200525" y="952500"/>
          <a:ext cx="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111111"/>
  <dimension ref="A1:F96"/>
  <sheetViews>
    <sheetView zoomScale="120" zoomScaleNormal="120" workbookViewId="0" topLeftCell="A1">
      <selection activeCell="E89" sqref="E89"/>
    </sheetView>
  </sheetViews>
  <sheetFormatPr defaultColWidth="9.140625" defaultRowHeight="21.75"/>
  <cols>
    <col min="1" max="1" width="58.28125" style="0" customWidth="1"/>
    <col min="2" max="2" width="11.57421875" style="0" customWidth="1"/>
    <col min="3" max="3" width="19.8515625" style="0" customWidth="1"/>
    <col min="4" max="4" width="18.8515625" style="0" customWidth="1"/>
    <col min="6" max="6" width="13.57421875" style="0" bestFit="1" customWidth="1"/>
  </cols>
  <sheetData>
    <row r="1" spans="1:5" ht="27.75">
      <c r="A1" s="140" t="s">
        <v>65</v>
      </c>
      <c r="B1" s="141"/>
      <c r="C1" s="141"/>
      <c r="D1" s="141"/>
      <c r="E1" s="1"/>
    </row>
    <row r="2" spans="1:5" ht="26.25">
      <c r="A2" s="131" t="s">
        <v>66</v>
      </c>
      <c r="B2" s="122"/>
      <c r="C2" s="122"/>
      <c r="D2" s="122"/>
      <c r="E2" s="1"/>
    </row>
    <row r="3" spans="1:4" ht="26.25">
      <c r="A3" s="131" t="s">
        <v>186</v>
      </c>
      <c r="B3" s="122"/>
      <c r="C3" s="122"/>
      <c r="D3" s="122"/>
    </row>
    <row r="4" spans="1:4" ht="26.25">
      <c r="A4" s="132" t="s">
        <v>0</v>
      </c>
      <c r="B4" s="132" t="s">
        <v>1</v>
      </c>
      <c r="C4" s="133" t="s">
        <v>2</v>
      </c>
      <c r="D4" s="134" t="s">
        <v>3</v>
      </c>
    </row>
    <row r="5" spans="1:5" ht="24">
      <c r="A5" s="10" t="s">
        <v>6</v>
      </c>
      <c r="B5" s="12" t="s">
        <v>7</v>
      </c>
      <c r="C5" s="62">
        <v>11452301.55</v>
      </c>
      <c r="D5" s="62"/>
      <c r="E5" s="2"/>
    </row>
    <row r="6" spans="1:5" ht="24">
      <c r="A6" s="10" t="s">
        <v>185</v>
      </c>
      <c r="B6" s="12"/>
      <c r="C6" s="62"/>
      <c r="D6" s="62"/>
      <c r="E6" s="2"/>
    </row>
    <row r="7" spans="1:5" ht="24">
      <c r="A7" s="10" t="s">
        <v>180</v>
      </c>
      <c r="B7" s="12"/>
      <c r="C7" s="62"/>
      <c r="D7" s="62"/>
      <c r="E7" s="2"/>
    </row>
    <row r="8" spans="1:5" ht="24">
      <c r="A8" s="10" t="s">
        <v>181</v>
      </c>
      <c r="B8" s="12"/>
      <c r="C8" s="62"/>
      <c r="D8" s="62"/>
      <c r="E8" s="2"/>
    </row>
    <row r="9" spans="1:5" ht="24">
      <c r="A9" s="10" t="s">
        <v>182</v>
      </c>
      <c r="B9" s="12"/>
      <c r="C9" s="62"/>
      <c r="D9" s="62"/>
      <c r="E9" s="2"/>
    </row>
    <row r="10" spans="1:5" ht="24">
      <c r="A10" s="10" t="s">
        <v>173</v>
      </c>
      <c r="B10" s="12"/>
      <c r="C10" s="62"/>
      <c r="D10" s="62"/>
      <c r="E10" s="2"/>
    </row>
    <row r="11" spans="1:6" ht="24">
      <c r="A11" s="10" t="s">
        <v>172</v>
      </c>
      <c r="B11" s="12" t="s">
        <v>8</v>
      </c>
      <c r="C11" s="62">
        <v>24890828.2</v>
      </c>
      <c r="D11" s="62"/>
      <c r="E11" s="2"/>
      <c r="F11" s="99">
        <f>C5+C11</f>
        <v>36343129.75</v>
      </c>
    </row>
    <row r="12" spans="1:6" ht="24">
      <c r="A12" s="10" t="s">
        <v>183</v>
      </c>
      <c r="B12" s="12"/>
      <c r="C12" s="62"/>
      <c r="D12" s="62"/>
      <c r="E12" s="2"/>
      <c r="F12" s="99"/>
    </row>
    <row r="13" spans="1:6" ht="24">
      <c r="A13" s="10" t="s">
        <v>4</v>
      </c>
      <c r="B13" s="12" t="s">
        <v>5</v>
      </c>
      <c r="C13" s="66" t="s">
        <v>121</v>
      </c>
      <c r="D13" s="62"/>
      <c r="E13" s="2"/>
      <c r="F13" s="99"/>
    </row>
    <row r="14" spans="1:6" ht="24">
      <c r="A14" s="10" t="s">
        <v>10</v>
      </c>
      <c r="B14" s="12" t="s">
        <v>11</v>
      </c>
      <c r="C14" s="66">
        <v>1258824</v>
      </c>
      <c r="D14" s="62"/>
      <c r="E14" s="2"/>
      <c r="F14" s="99">
        <f>C14</f>
        <v>1258824</v>
      </c>
    </row>
    <row r="15" spans="1:6" ht="24">
      <c r="A15" s="10" t="s">
        <v>12</v>
      </c>
      <c r="B15" s="12" t="s">
        <v>13</v>
      </c>
      <c r="C15" s="66" t="s">
        <v>121</v>
      </c>
      <c r="D15" s="62"/>
      <c r="E15" s="2"/>
      <c r="F15" s="99">
        <f>'งบรับ-จ่าย ประจำเดือน '!B53</f>
        <v>9357786.629999999</v>
      </c>
    </row>
    <row r="16" spans="1:6" ht="24">
      <c r="A16" s="10" t="s">
        <v>14</v>
      </c>
      <c r="B16" s="12" t="s">
        <v>15</v>
      </c>
      <c r="C16" s="62">
        <v>68562.24</v>
      </c>
      <c r="D16" s="62"/>
      <c r="E16" s="2"/>
      <c r="F16" s="99">
        <f>SUM(F11:F15)</f>
        <v>46959740.379999995</v>
      </c>
    </row>
    <row r="17" spans="1:5" ht="24">
      <c r="A17" s="10" t="s">
        <v>133</v>
      </c>
      <c r="B17" s="12" t="s">
        <v>17</v>
      </c>
      <c r="C17" s="62">
        <v>2052660</v>
      </c>
      <c r="D17" s="62"/>
      <c r="E17" s="2"/>
    </row>
    <row r="18" spans="1:5" ht="24">
      <c r="A18" s="10" t="s">
        <v>134</v>
      </c>
      <c r="B18" s="12" t="s">
        <v>17</v>
      </c>
      <c r="C18" s="62">
        <v>1728887</v>
      </c>
      <c r="D18" s="62"/>
      <c r="E18" s="2"/>
    </row>
    <row r="19" spans="1:5" ht="24">
      <c r="A19" s="10" t="s">
        <v>18</v>
      </c>
      <c r="B19" s="12" t="s">
        <v>19</v>
      </c>
      <c r="C19" s="62">
        <v>149600</v>
      </c>
      <c r="D19" s="62"/>
      <c r="E19" s="2"/>
    </row>
    <row r="20" spans="1:5" ht="24">
      <c r="A20" s="10" t="s">
        <v>20</v>
      </c>
      <c r="B20" s="12" t="s">
        <v>21</v>
      </c>
      <c r="C20" s="62">
        <v>644397</v>
      </c>
      <c r="D20" s="62"/>
      <c r="E20" s="2"/>
    </row>
    <row r="21" spans="1:5" ht="24">
      <c r="A21" s="10" t="s">
        <v>22</v>
      </c>
      <c r="B21" s="12" t="s">
        <v>23</v>
      </c>
      <c r="C21" s="62">
        <v>291609</v>
      </c>
      <c r="D21" s="62"/>
      <c r="E21" s="2"/>
    </row>
    <row r="22" spans="1:5" ht="24">
      <c r="A22" s="10" t="s">
        <v>24</v>
      </c>
      <c r="B22" s="12" t="s">
        <v>25</v>
      </c>
      <c r="C22" s="62">
        <v>1624290.25</v>
      </c>
      <c r="D22" s="62"/>
      <c r="E22" s="2"/>
    </row>
    <row r="23" spans="1:5" ht="24">
      <c r="A23" s="10" t="s">
        <v>26</v>
      </c>
      <c r="B23" s="12" t="s">
        <v>27</v>
      </c>
      <c r="C23" s="66">
        <v>952810.7</v>
      </c>
      <c r="D23" s="62"/>
      <c r="E23" s="2"/>
    </row>
    <row r="24" spans="1:5" ht="24">
      <c r="A24" s="10" t="s">
        <v>28</v>
      </c>
      <c r="B24" s="12" t="s">
        <v>29</v>
      </c>
      <c r="C24" s="62">
        <v>450075.68</v>
      </c>
      <c r="D24" s="62"/>
      <c r="E24" s="2"/>
    </row>
    <row r="25" spans="1:5" ht="24">
      <c r="A25" s="10" t="s">
        <v>30</v>
      </c>
      <c r="B25" s="12" t="s">
        <v>31</v>
      </c>
      <c r="C25" s="66">
        <v>251443</v>
      </c>
      <c r="D25" s="62"/>
      <c r="E25" s="2"/>
    </row>
    <row r="26" spans="1:5" ht="24">
      <c r="A26" s="10" t="s">
        <v>32</v>
      </c>
      <c r="B26" s="12" t="s">
        <v>33</v>
      </c>
      <c r="C26" s="66">
        <v>108500</v>
      </c>
      <c r="D26" s="62"/>
      <c r="E26" s="2"/>
    </row>
    <row r="27" spans="1:5" ht="24">
      <c r="A27" s="10" t="s">
        <v>34</v>
      </c>
      <c r="B27" s="12" t="s">
        <v>35</v>
      </c>
      <c r="C27" s="66">
        <v>293114</v>
      </c>
      <c r="D27" s="62"/>
      <c r="E27" s="2"/>
    </row>
    <row r="28" spans="1:5" ht="24">
      <c r="A28" s="10" t="s">
        <v>36</v>
      </c>
      <c r="B28" s="12" t="s">
        <v>37</v>
      </c>
      <c r="C28" s="66" t="s">
        <v>121</v>
      </c>
      <c r="D28" s="62"/>
      <c r="E28" s="2"/>
    </row>
    <row r="29" spans="1:5" ht="24">
      <c r="A29" s="10" t="s">
        <v>38</v>
      </c>
      <c r="B29" s="12" t="s">
        <v>39</v>
      </c>
      <c r="C29" s="66">
        <v>810400</v>
      </c>
      <c r="D29" s="62"/>
      <c r="E29" s="2"/>
    </row>
    <row r="30" spans="1:5" ht="24">
      <c r="A30" s="10" t="s">
        <v>40</v>
      </c>
      <c r="B30" s="12" t="s">
        <v>41</v>
      </c>
      <c r="C30" s="62"/>
      <c r="D30" s="62">
        <v>21432538.86</v>
      </c>
      <c r="E30" s="2"/>
    </row>
    <row r="31" spans="1:5" ht="24">
      <c r="A31" s="10" t="s">
        <v>141</v>
      </c>
      <c r="B31" s="14" t="s">
        <v>68</v>
      </c>
      <c r="C31" s="62"/>
      <c r="D31" s="66" t="s">
        <v>121</v>
      </c>
      <c r="E31" s="2"/>
    </row>
    <row r="32" spans="1:5" ht="24">
      <c r="A32" s="10" t="s">
        <v>42</v>
      </c>
      <c r="B32" s="14" t="s">
        <v>43</v>
      </c>
      <c r="C32" s="62"/>
      <c r="D32" s="62">
        <f>C58</f>
        <v>1823391.2500000002</v>
      </c>
      <c r="E32" s="2"/>
    </row>
    <row r="33" spans="1:5" ht="24">
      <c r="A33" s="10" t="s">
        <v>171</v>
      </c>
      <c r="B33" s="14" t="s">
        <v>158</v>
      </c>
      <c r="C33" s="62"/>
      <c r="D33" s="62">
        <f>C68</f>
        <v>5681456.32</v>
      </c>
      <c r="E33" s="2"/>
    </row>
    <row r="34" spans="1:5" ht="24">
      <c r="A34" s="10" t="s">
        <v>45</v>
      </c>
      <c r="B34" s="14" t="s">
        <v>44</v>
      </c>
      <c r="C34" s="62"/>
      <c r="D34" s="66" t="s">
        <v>121</v>
      </c>
      <c r="E34" s="2"/>
    </row>
    <row r="35" spans="1:5" ht="24">
      <c r="A35" s="15" t="s">
        <v>46</v>
      </c>
      <c r="B35" s="12" t="s">
        <v>47</v>
      </c>
      <c r="C35" s="63"/>
      <c r="D35" s="63">
        <v>6667669.7</v>
      </c>
      <c r="E35" s="2"/>
    </row>
    <row r="36" spans="1:5" ht="24">
      <c r="A36" s="15" t="s">
        <v>63</v>
      </c>
      <c r="B36" s="13">
        <v>703</v>
      </c>
      <c r="C36" s="63"/>
      <c r="D36" s="63">
        <v>11366456.49</v>
      </c>
      <c r="E36" s="2"/>
    </row>
    <row r="37" spans="1:5" ht="24">
      <c r="A37" s="15" t="s">
        <v>67</v>
      </c>
      <c r="B37" s="16">
        <v>7600</v>
      </c>
      <c r="C37" s="63"/>
      <c r="D37" s="64">
        <v>56790</v>
      </c>
      <c r="E37" s="2"/>
    </row>
    <row r="38" spans="1:6" ht="24.75" thickBot="1">
      <c r="A38" s="3"/>
      <c r="B38" s="3"/>
      <c r="C38" s="65">
        <f>SUM(C5:C37)</f>
        <v>47028302.620000005</v>
      </c>
      <c r="D38" s="65">
        <f>SUM(D30:D37)</f>
        <v>47028302.620000005</v>
      </c>
      <c r="E38" s="2"/>
      <c r="F38" t="s">
        <v>143</v>
      </c>
    </row>
    <row r="39" spans="1:5" ht="24.75" thickTop="1">
      <c r="A39" s="3"/>
      <c r="B39" s="3"/>
      <c r="C39" s="130"/>
      <c r="D39" s="130"/>
      <c r="E39" s="2"/>
    </row>
    <row r="40" spans="1:4" s="136" customFormat="1" ht="15">
      <c r="A40" s="95"/>
      <c r="B40" s="95"/>
      <c r="C40" s="135"/>
      <c r="D40" s="135"/>
    </row>
    <row r="41" spans="1:5" ht="24">
      <c r="A41" s="142" t="s">
        <v>168</v>
      </c>
      <c r="B41" s="142"/>
      <c r="C41" s="142"/>
      <c r="D41" s="142"/>
      <c r="E41" s="2"/>
    </row>
    <row r="42" spans="1:5" ht="24">
      <c r="A42" s="142" t="s">
        <v>189</v>
      </c>
      <c r="B42" s="142"/>
      <c r="C42" s="142"/>
      <c r="D42" s="142"/>
      <c r="E42" s="2"/>
    </row>
    <row r="43" spans="1:5" ht="24">
      <c r="A43" s="56" t="s">
        <v>190</v>
      </c>
      <c r="B43" s="56"/>
      <c r="C43" s="56"/>
      <c r="D43" s="56"/>
      <c r="E43" s="2"/>
    </row>
    <row r="44" spans="1:5" ht="24">
      <c r="A44" s="142"/>
      <c r="B44" s="142"/>
      <c r="C44" s="142"/>
      <c r="D44" s="142"/>
      <c r="E44" s="2"/>
    </row>
    <row r="45" spans="1:4" ht="24">
      <c r="A45" s="2"/>
      <c r="B45" s="2"/>
      <c r="C45" s="2"/>
      <c r="D45" s="2"/>
    </row>
    <row r="46" spans="1:4" ht="23.25">
      <c r="A46" s="143" t="s">
        <v>187</v>
      </c>
      <c r="B46" s="144"/>
      <c r="C46" s="144"/>
      <c r="D46" s="144"/>
    </row>
    <row r="47" spans="1:4" ht="24">
      <c r="A47" s="17" t="s">
        <v>48</v>
      </c>
      <c r="B47" s="17"/>
      <c r="C47" s="17"/>
      <c r="D47" s="2"/>
    </row>
    <row r="48" spans="1:4" ht="24">
      <c r="A48" s="18" t="s">
        <v>49</v>
      </c>
      <c r="B48" s="8"/>
      <c r="C48" s="7" t="s">
        <v>50</v>
      </c>
      <c r="D48" s="2"/>
    </row>
    <row r="49" spans="1:4" ht="24">
      <c r="A49" s="3" t="s">
        <v>51</v>
      </c>
      <c r="B49" s="19"/>
      <c r="C49" s="59">
        <v>528591</v>
      </c>
      <c r="D49" s="2"/>
    </row>
    <row r="50" spans="1:4" ht="24">
      <c r="A50" s="3" t="s">
        <v>52</v>
      </c>
      <c r="B50" s="3"/>
      <c r="C50" s="59">
        <v>4825.65</v>
      </c>
      <c r="D50" s="2"/>
    </row>
    <row r="51" spans="1:4" ht="24">
      <c r="A51" s="3" t="s">
        <v>53</v>
      </c>
      <c r="B51" s="3"/>
      <c r="C51" s="59">
        <v>5790.78</v>
      </c>
      <c r="D51" s="2"/>
    </row>
    <row r="52" spans="1:4" ht="24">
      <c r="A52" s="3" t="s">
        <v>54</v>
      </c>
      <c r="B52" s="3"/>
      <c r="C52" s="59">
        <v>15074.31</v>
      </c>
      <c r="D52" s="2"/>
    </row>
    <row r="53" spans="1:4" ht="24">
      <c r="A53" s="3" t="s">
        <v>64</v>
      </c>
      <c r="B53" s="3"/>
      <c r="C53" s="59">
        <f>3059.87+380</f>
        <v>3439.87</v>
      </c>
      <c r="D53" s="2"/>
    </row>
    <row r="54" spans="1:4" ht="24">
      <c r="A54" s="3" t="s">
        <v>159</v>
      </c>
      <c r="B54" s="3"/>
      <c r="C54" s="58">
        <f>1213617.77+3725.51+5000</f>
        <v>1222343.28</v>
      </c>
      <c r="D54" s="2"/>
    </row>
    <row r="55" spans="1:4" ht="24">
      <c r="A55" s="3" t="s">
        <v>122</v>
      </c>
      <c r="B55" s="3"/>
      <c r="C55" s="58">
        <f>25300.29+78.07</f>
        <v>25378.36</v>
      </c>
      <c r="D55" s="2"/>
    </row>
    <row r="56" spans="1:4" ht="24">
      <c r="A56" s="3" t="s">
        <v>149</v>
      </c>
      <c r="B56" s="3"/>
      <c r="C56" s="59">
        <v>12500</v>
      </c>
      <c r="D56" s="2"/>
    </row>
    <row r="57" spans="1:4" ht="24">
      <c r="A57" s="3" t="s">
        <v>155</v>
      </c>
      <c r="B57" s="3"/>
      <c r="C57" s="59">
        <v>5448</v>
      </c>
      <c r="D57" s="2"/>
    </row>
    <row r="58" spans="1:4" ht="24.75" thickBot="1">
      <c r="A58" s="3"/>
      <c r="B58" s="3"/>
      <c r="C58" s="67">
        <f>SUM(C49:C57)</f>
        <v>1823391.2500000002</v>
      </c>
      <c r="D58" s="2"/>
    </row>
    <row r="59" spans="1:4" ht="24.75" thickTop="1">
      <c r="A59" s="3"/>
      <c r="B59" s="3"/>
      <c r="C59" s="20"/>
      <c r="D59" s="2"/>
    </row>
    <row r="60" spans="1:4" ht="24">
      <c r="A60" s="3"/>
      <c r="B60" s="3"/>
      <c r="C60" s="20"/>
      <c r="D60" s="2"/>
    </row>
    <row r="61" spans="1:4" ht="23.25">
      <c r="A61" s="123" t="s">
        <v>188</v>
      </c>
      <c r="B61" s="108"/>
      <c r="C61" s="108"/>
      <c r="D61" s="108"/>
    </row>
    <row r="62" spans="1:4" ht="23.25">
      <c r="A62" s="108" t="s">
        <v>146</v>
      </c>
      <c r="B62" s="108"/>
      <c r="C62" s="108"/>
      <c r="D62" s="108"/>
    </row>
    <row r="63" spans="1:4" ht="23.25">
      <c r="A63" s="109" t="s">
        <v>56</v>
      </c>
      <c r="B63" s="110"/>
      <c r="C63" s="111" t="s">
        <v>57</v>
      </c>
      <c r="D63" s="108"/>
    </row>
    <row r="64" spans="1:4" ht="25.5" customHeight="1">
      <c r="A64" s="108" t="s">
        <v>167</v>
      </c>
      <c r="B64" s="108"/>
      <c r="C64" s="112">
        <v>56800</v>
      </c>
      <c r="D64" s="108"/>
    </row>
    <row r="65" spans="1:4" ht="23.25">
      <c r="A65" s="108" t="s">
        <v>165</v>
      </c>
      <c r="B65" s="108"/>
      <c r="C65" s="112">
        <v>4857600</v>
      </c>
      <c r="D65" s="108"/>
    </row>
    <row r="66" spans="1:4" ht="23.25">
      <c r="A66" s="108" t="s">
        <v>166</v>
      </c>
      <c r="B66" s="108"/>
      <c r="C66" s="57">
        <v>749000</v>
      </c>
      <c r="D66" s="108"/>
    </row>
    <row r="67" spans="1:4" ht="23.25">
      <c r="A67" s="108" t="s">
        <v>160</v>
      </c>
      <c r="B67" s="108"/>
      <c r="C67" s="57">
        <v>18056.32</v>
      </c>
      <c r="D67" s="108"/>
    </row>
    <row r="68" spans="1:4" ht="24" thickBot="1">
      <c r="A68" s="108"/>
      <c r="B68" s="108"/>
      <c r="C68" s="113">
        <f>SUM(C64:C67)</f>
        <v>5681456.32</v>
      </c>
      <c r="D68" s="108"/>
    </row>
    <row r="69" spans="1:4" ht="24" thickTop="1">
      <c r="A69" s="108" t="s">
        <v>60</v>
      </c>
      <c r="B69" s="108"/>
      <c r="C69" s="114"/>
      <c r="D69" s="108"/>
    </row>
    <row r="70" spans="1:4" ht="23.25">
      <c r="A70" s="108" t="s">
        <v>62</v>
      </c>
      <c r="B70" s="108"/>
      <c r="C70" s="114"/>
      <c r="D70" s="108"/>
    </row>
    <row r="71" spans="1:4" ht="24">
      <c r="A71" s="2"/>
      <c r="B71" s="3" t="s">
        <v>59</v>
      </c>
      <c r="C71" s="4"/>
      <c r="D71" s="2"/>
    </row>
    <row r="72" spans="1:4" ht="24">
      <c r="A72" s="2" t="s">
        <v>58</v>
      </c>
      <c r="B72" s="3" t="s">
        <v>61</v>
      </c>
      <c r="C72" s="4"/>
      <c r="D72" s="2"/>
    </row>
    <row r="73" spans="1:4" ht="23.25">
      <c r="A73" s="142" t="s">
        <v>168</v>
      </c>
      <c r="B73" s="142"/>
      <c r="C73" s="142"/>
      <c r="D73" s="142"/>
    </row>
    <row r="74" spans="1:4" ht="23.25">
      <c r="A74" s="142" t="s">
        <v>191</v>
      </c>
      <c r="B74" s="142"/>
      <c r="C74" s="142"/>
      <c r="D74" s="142"/>
    </row>
    <row r="75" spans="1:4" ht="23.25">
      <c r="A75" s="56" t="s">
        <v>192</v>
      </c>
      <c r="B75" s="56"/>
      <c r="C75" s="56"/>
      <c r="D75" s="56"/>
    </row>
    <row r="76" spans="1:4" ht="23.25">
      <c r="A76" s="142"/>
      <c r="B76" s="142"/>
      <c r="C76" s="142"/>
      <c r="D76" s="142"/>
    </row>
    <row r="77" spans="1:4" ht="24" hidden="1">
      <c r="A77" s="3"/>
      <c r="B77" s="3"/>
      <c r="C77" s="20"/>
      <c r="D77" s="2"/>
    </row>
    <row r="78" spans="1:4" ht="24" hidden="1">
      <c r="A78" s="3"/>
      <c r="B78" s="3"/>
      <c r="C78" s="20"/>
      <c r="D78" s="2"/>
    </row>
    <row r="79" spans="1:4" ht="24" hidden="1">
      <c r="A79" s="3"/>
      <c r="B79" s="3"/>
      <c r="C79" s="20"/>
      <c r="D79" s="2"/>
    </row>
    <row r="80" spans="1:4" ht="24" hidden="1">
      <c r="A80" s="3"/>
      <c r="B80" s="3"/>
      <c r="C80" s="20"/>
      <c r="D80" s="2"/>
    </row>
    <row r="81" spans="1:4" ht="24" hidden="1">
      <c r="A81" s="3"/>
      <c r="B81" s="3"/>
      <c r="C81" s="20"/>
      <c r="D81" s="2"/>
    </row>
    <row r="82" spans="1:4" ht="24" hidden="1">
      <c r="A82" s="3"/>
      <c r="B82" s="3"/>
      <c r="C82" s="20"/>
      <c r="D82" s="2"/>
    </row>
    <row r="83" spans="1:4" ht="24" hidden="1">
      <c r="A83" s="3"/>
      <c r="B83" s="3"/>
      <c r="C83" s="20"/>
      <c r="D83" s="2"/>
    </row>
    <row r="84" spans="1:4" ht="24">
      <c r="A84" s="3"/>
      <c r="B84" s="3"/>
      <c r="C84" s="20"/>
      <c r="D84" s="2"/>
    </row>
    <row r="85" spans="1:4" ht="24">
      <c r="A85" s="3" t="s">
        <v>55</v>
      </c>
      <c r="B85" s="3"/>
      <c r="C85" s="3"/>
      <c r="D85" s="2"/>
    </row>
    <row r="86" spans="1:4" ht="24">
      <c r="A86" s="2"/>
      <c r="B86" s="2"/>
      <c r="C86" s="2"/>
      <c r="D86" s="2"/>
    </row>
    <row r="87" spans="1:4" ht="24">
      <c r="A87" s="2"/>
      <c r="B87" s="2"/>
      <c r="C87" s="2"/>
      <c r="D87" s="2"/>
    </row>
    <row r="88" spans="1:4" ht="24">
      <c r="A88" s="2"/>
      <c r="B88" s="2"/>
      <c r="C88" s="2"/>
      <c r="D88" s="2"/>
    </row>
    <row r="89" spans="1:4" ht="24">
      <c r="A89" s="2"/>
      <c r="B89" s="2"/>
      <c r="C89" s="2"/>
      <c r="D89" s="2"/>
    </row>
    <row r="90" spans="1:4" ht="24">
      <c r="A90" s="2"/>
      <c r="B90" s="2"/>
      <c r="C90" s="2"/>
      <c r="D90" s="2"/>
    </row>
    <row r="91" spans="1:4" ht="24">
      <c r="A91" s="2"/>
      <c r="B91" s="2"/>
      <c r="C91" s="2"/>
      <c r="D91" s="2"/>
    </row>
    <row r="92" spans="1:4" ht="24">
      <c r="A92" s="2"/>
      <c r="B92" s="2"/>
      <c r="C92" s="2"/>
      <c r="D92" s="2"/>
    </row>
    <row r="93" spans="1:4" ht="24">
      <c r="A93" s="2"/>
      <c r="B93" s="2"/>
      <c r="C93" s="2"/>
      <c r="D93" s="2"/>
    </row>
    <row r="94" spans="1:4" ht="24">
      <c r="A94" s="2"/>
      <c r="B94" s="2"/>
      <c r="C94" s="2"/>
      <c r="D94" s="2"/>
    </row>
    <row r="95" spans="1:4" ht="24">
      <c r="A95" s="2"/>
      <c r="B95" s="2"/>
      <c r="C95" s="2"/>
      <c r="D95" s="2"/>
    </row>
    <row r="96" spans="1:4" ht="24">
      <c r="A96" s="2"/>
      <c r="B96" s="2"/>
      <c r="C96" s="2"/>
      <c r="D96" s="2"/>
    </row>
  </sheetData>
  <mergeCells count="8">
    <mergeCell ref="A73:D73"/>
    <mergeCell ref="A74:D74"/>
    <mergeCell ref="A76:D76"/>
    <mergeCell ref="A46:D46"/>
    <mergeCell ref="A1:D1"/>
    <mergeCell ref="A41:D41"/>
    <mergeCell ref="A42:D42"/>
    <mergeCell ref="A44:D44"/>
  </mergeCells>
  <printOptions/>
  <pageMargins left="1.07" right="0.19" top="0.57" bottom="0.4" header="0.24" footer="0.22"/>
  <pageSetup horizontalDpi="600" verticalDpi="600" orientation="portrait" paperSize="9" scale="7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4"/>
  <sheetViews>
    <sheetView workbookViewId="0" topLeftCell="A53">
      <selection activeCell="M64" sqref="M64"/>
    </sheetView>
  </sheetViews>
  <sheetFormatPr defaultColWidth="9.140625" defaultRowHeight="21.75"/>
  <cols>
    <col min="1" max="1" width="18.28125" style="0" customWidth="1"/>
    <col min="2" max="2" width="16.28125" style="0" customWidth="1"/>
    <col min="3" max="3" width="5.421875" style="0" customWidth="1"/>
    <col min="4" max="4" width="29.7109375" style="0" customWidth="1"/>
    <col min="5" max="5" width="8.421875" style="0" customWidth="1"/>
    <col min="6" max="6" width="28.140625" style="0" hidden="1" customWidth="1"/>
    <col min="7" max="7" width="5.00390625" style="0" hidden="1" customWidth="1"/>
    <col min="8" max="8" width="17.28125" style="0" customWidth="1"/>
    <col min="9" max="9" width="11.140625" style="0" customWidth="1"/>
    <col min="10" max="10" width="12.421875" style="0" bestFit="1" customWidth="1"/>
    <col min="13" max="13" width="13.57421875" style="0" bestFit="1" customWidth="1"/>
  </cols>
  <sheetData>
    <row r="1" spans="1:9" ht="26.25">
      <c r="A1" s="131" t="s">
        <v>69</v>
      </c>
      <c r="B1" s="131"/>
      <c r="C1" s="131"/>
      <c r="D1" s="131"/>
      <c r="E1" s="122"/>
      <c r="F1" s="122"/>
      <c r="G1" s="122"/>
      <c r="H1" s="122"/>
      <c r="I1" s="2"/>
    </row>
    <row r="2" spans="1:9" ht="26.25">
      <c r="A2" s="131" t="s">
        <v>70</v>
      </c>
      <c r="B2" s="131"/>
      <c r="C2" s="131"/>
      <c r="D2" s="131"/>
      <c r="E2" s="122"/>
      <c r="F2" s="122"/>
      <c r="G2" s="122"/>
      <c r="H2" s="122"/>
      <c r="I2" s="2"/>
    </row>
    <row r="3" spans="1:9" ht="26.25">
      <c r="A3" s="122"/>
      <c r="B3" s="122"/>
      <c r="C3" s="122"/>
      <c r="D3" s="122" t="s">
        <v>175</v>
      </c>
      <c r="E3" s="131"/>
      <c r="F3" s="131" t="s">
        <v>71</v>
      </c>
      <c r="G3" s="131"/>
      <c r="H3" s="131"/>
      <c r="I3" s="2"/>
    </row>
    <row r="4" spans="1:9" ht="26.25">
      <c r="A4" s="122"/>
      <c r="B4" s="122"/>
      <c r="C4" s="122"/>
      <c r="D4" s="122"/>
      <c r="E4" s="122"/>
      <c r="F4" s="122"/>
      <c r="G4" s="122"/>
      <c r="H4" s="122"/>
      <c r="I4" s="2"/>
    </row>
    <row r="5" spans="1:9" ht="26.25">
      <c r="A5" s="3"/>
      <c r="B5" s="3" t="s">
        <v>55</v>
      </c>
      <c r="C5" s="3"/>
      <c r="D5" s="129" t="s">
        <v>174</v>
      </c>
      <c r="E5" s="3"/>
      <c r="F5" s="3"/>
      <c r="G5" s="3"/>
      <c r="H5" s="3"/>
      <c r="I5" s="2"/>
    </row>
    <row r="6" spans="1:9" ht="24">
      <c r="A6" s="3"/>
      <c r="B6" s="3"/>
      <c r="C6" s="3"/>
      <c r="D6" s="3"/>
      <c r="E6" s="3"/>
      <c r="F6" s="3"/>
      <c r="G6" s="3"/>
      <c r="H6" s="3"/>
      <c r="I6" s="2"/>
    </row>
    <row r="7" spans="1:9" ht="27" thickBot="1">
      <c r="A7" s="137"/>
      <c r="B7" s="137"/>
      <c r="C7" s="137"/>
      <c r="D7" s="138" t="s">
        <v>193</v>
      </c>
      <c r="E7" s="138"/>
      <c r="F7" s="138"/>
      <c r="G7" s="138"/>
      <c r="H7" s="138"/>
      <c r="I7" s="2"/>
    </row>
    <row r="8" spans="1:9" ht="24.75" thickTop="1">
      <c r="A8" s="24" t="s">
        <v>72</v>
      </c>
      <c r="B8" s="88"/>
      <c r="C8" s="26"/>
      <c r="D8" s="40"/>
      <c r="E8" s="25" t="s">
        <v>73</v>
      </c>
      <c r="F8" s="15"/>
      <c r="G8" s="15"/>
      <c r="H8" s="69" t="s">
        <v>74</v>
      </c>
      <c r="I8" s="2"/>
    </row>
    <row r="9" spans="1:9" ht="24">
      <c r="A9" s="97" t="s">
        <v>75</v>
      </c>
      <c r="B9" s="89" t="s">
        <v>76</v>
      </c>
      <c r="C9" s="26"/>
      <c r="D9" s="27" t="s">
        <v>77</v>
      </c>
      <c r="E9" s="27" t="s">
        <v>78</v>
      </c>
      <c r="F9" s="15"/>
      <c r="G9" s="15"/>
      <c r="H9" s="27" t="s">
        <v>79</v>
      </c>
      <c r="I9" s="2"/>
    </row>
    <row r="10" spans="1:9" ht="24.75" thickBot="1">
      <c r="A10" s="98" t="s">
        <v>80</v>
      </c>
      <c r="B10" s="28" t="s">
        <v>81</v>
      </c>
      <c r="C10" s="29"/>
      <c r="D10" s="30"/>
      <c r="E10" s="30"/>
      <c r="F10" s="23"/>
      <c r="G10" s="23"/>
      <c r="H10" s="45" t="s">
        <v>82</v>
      </c>
      <c r="I10" s="2"/>
    </row>
    <row r="11" spans="1:9" ht="24.75" thickTop="1">
      <c r="A11" s="70"/>
      <c r="B11" s="74">
        <v>22786061.86</v>
      </c>
      <c r="C11" s="87"/>
      <c r="D11" s="32" t="s">
        <v>83</v>
      </c>
      <c r="E11" s="32"/>
      <c r="F11" s="3"/>
      <c r="G11" s="3"/>
      <c r="H11" s="74">
        <v>38559615.82</v>
      </c>
      <c r="I11" s="2"/>
    </row>
    <row r="12" spans="1:9" ht="24">
      <c r="A12" s="59"/>
      <c r="B12" s="60"/>
      <c r="C12" s="78"/>
      <c r="D12" s="124" t="s">
        <v>164</v>
      </c>
      <c r="E12" s="10"/>
      <c r="F12" s="3"/>
      <c r="G12" s="3"/>
      <c r="H12" s="60"/>
      <c r="I12" s="2"/>
    </row>
    <row r="13" spans="1:9" ht="24">
      <c r="A13" s="59">
        <v>260000</v>
      </c>
      <c r="B13" s="59">
        <f>184438.87+H13</f>
        <v>208859.82</v>
      </c>
      <c r="C13" s="84"/>
      <c r="D13" s="10" t="s">
        <v>84</v>
      </c>
      <c r="E13" s="33">
        <v>100</v>
      </c>
      <c r="F13" s="3"/>
      <c r="G13" s="3"/>
      <c r="H13" s="59">
        <v>24420.95</v>
      </c>
      <c r="I13" s="2"/>
    </row>
    <row r="14" spans="1:9" ht="24">
      <c r="A14" s="59">
        <v>330000</v>
      </c>
      <c r="B14" s="59">
        <f>133823.5+H14</f>
        <v>173866</v>
      </c>
      <c r="C14" s="84"/>
      <c r="D14" s="10" t="s">
        <v>176</v>
      </c>
      <c r="E14" s="33">
        <v>120</v>
      </c>
      <c r="F14" s="3"/>
      <c r="G14" s="3"/>
      <c r="H14" s="59">
        <v>40042.5</v>
      </c>
      <c r="I14" s="2"/>
    </row>
    <row r="15" spans="1:13" ht="24">
      <c r="A15" s="59">
        <v>100000</v>
      </c>
      <c r="B15" s="57">
        <f>56806.99</f>
        <v>56806.99</v>
      </c>
      <c r="C15" s="83"/>
      <c r="D15" s="10" t="s">
        <v>85</v>
      </c>
      <c r="E15" s="33">
        <v>200</v>
      </c>
      <c r="F15" s="3"/>
      <c r="G15" s="3"/>
      <c r="H15" s="57" t="s">
        <v>9</v>
      </c>
      <c r="I15" s="2"/>
      <c r="M15" s="99">
        <f>B20</f>
        <v>21432538.86</v>
      </c>
    </row>
    <row r="16" spans="1:9" ht="24">
      <c r="A16" s="59">
        <v>200000</v>
      </c>
      <c r="B16" s="57">
        <f>31307+H16</f>
        <v>41667</v>
      </c>
      <c r="C16" s="84"/>
      <c r="D16" s="10" t="s">
        <v>177</v>
      </c>
      <c r="E16" s="33">
        <v>250</v>
      </c>
      <c r="F16" s="3"/>
      <c r="G16" s="3"/>
      <c r="H16" s="57">
        <v>10360</v>
      </c>
      <c r="I16" s="2"/>
    </row>
    <row r="17" spans="1:9" ht="24">
      <c r="A17" s="59">
        <v>180000</v>
      </c>
      <c r="B17" s="59">
        <f>6699+H17</f>
        <v>7584</v>
      </c>
      <c r="C17" s="84"/>
      <c r="D17" s="10" t="s">
        <v>86</v>
      </c>
      <c r="E17" s="33">
        <v>300</v>
      </c>
      <c r="F17" s="3"/>
      <c r="G17" s="3"/>
      <c r="H17" s="59">
        <v>885</v>
      </c>
      <c r="I17" s="2"/>
    </row>
    <row r="18" spans="1:9" ht="24">
      <c r="A18" s="59">
        <v>13930000</v>
      </c>
      <c r="B18" s="59">
        <f>6877318.23+H18</f>
        <v>8318401.050000001</v>
      </c>
      <c r="C18" s="84"/>
      <c r="D18" s="10" t="s">
        <v>87</v>
      </c>
      <c r="E18" s="21">
        <v>1000</v>
      </c>
      <c r="F18" s="3"/>
      <c r="G18" s="3"/>
      <c r="H18" s="59">
        <v>1441082.82</v>
      </c>
      <c r="I18" s="2"/>
    </row>
    <row r="19" spans="1:9" ht="24">
      <c r="A19" s="72">
        <v>11000000</v>
      </c>
      <c r="B19" s="57">
        <v>12625354</v>
      </c>
      <c r="C19" s="83"/>
      <c r="D19" s="10" t="s">
        <v>38</v>
      </c>
      <c r="E19" s="13">
        <v>2000</v>
      </c>
      <c r="F19" s="15"/>
      <c r="G19" s="15"/>
      <c r="H19" s="57" t="s">
        <v>9</v>
      </c>
      <c r="I19" s="2"/>
    </row>
    <row r="20" spans="1:10" ht="24.75" thickBot="1">
      <c r="A20" s="73">
        <f>SUM(A13:A19)</f>
        <v>26000000</v>
      </c>
      <c r="B20" s="75">
        <f>SUM(B13:B19)</f>
        <v>21432538.86</v>
      </c>
      <c r="C20" s="78"/>
      <c r="D20" s="10"/>
      <c r="E20" s="13"/>
      <c r="F20" s="34"/>
      <c r="G20" s="34"/>
      <c r="H20" s="75">
        <f>SUM(H13:H19)</f>
        <v>1516791.27</v>
      </c>
      <c r="I20" s="2"/>
      <c r="J20" t="s">
        <v>40</v>
      </c>
    </row>
    <row r="21" spans="1:9" ht="24.75" thickTop="1">
      <c r="A21" s="35"/>
      <c r="B21" s="57" t="s">
        <v>9</v>
      </c>
      <c r="C21" s="83"/>
      <c r="D21" s="10" t="s">
        <v>150</v>
      </c>
      <c r="E21" s="21">
        <v>3000</v>
      </c>
      <c r="F21" s="3"/>
      <c r="G21" s="3"/>
      <c r="H21" s="57" t="s">
        <v>9</v>
      </c>
      <c r="I21" s="37"/>
    </row>
    <row r="22" spans="1:9" ht="24">
      <c r="A22" s="35"/>
      <c r="B22" s="57">
        <f>13211311.05+H22</f>
        <v>13229367.370000001</v>
      </c>
      <c r="C22" s="83"/>
      <c r="D22" s="10" t="s">
        <v>88</v>
      </c>
      <c r="E22" s="21">
        <v>3002</v>
      </c>
      <c r="F22" s="3"/>
      <c r="G22" s="3"/>
      <c r="H22" s="57">
        <v>18056.32</v>
      </c>
      <c r="I22" s="37"/>
    </row>
    <row r="23" spans="1:9" ht="24">
      <c r="A23" s="35"/>
      <c r="B23" s="57">
        <f>142644.27+H23</f>
        <v>163344.81999999998</v>
      </c>
      <c r="C23" s="83"/>
      <c r="D23" s="10" t="s">
        <v>89</v>
      </c>
      <c r="E23" s="21">
        <v>900</v>
      </c>
      <c r="F23" s="3"/>
      <c r="G23" s="3"/>
      <c r="H23" s="76">
        <f>'หมายเหตุประกอบรายงานรับ-จ่าย'!B13</f>
        <v>20700.55</v>
      </c>
      <c r="I23" s="2"/>
    </row>
    <row r="24" spans="1:9" ht="24">
      <c r="A24" s="35"/>
      <c r="B24" s="57">
        <f>6603.58</f>
        <v>6603.58</v>
      </c>
      <c r="C24" s="83"/>
      <c r="D24" s="10" t="s">
        <v>46</v>
      </c>
      <c r="E24" s="21">
        <v>700</v>
      </c>
      <c r="F24" s="3"/>
      <c r="G24" s="3"/>
      <c r="H24" s="57" t="s">
        <v>9</v>
      </c>
      <c r="I24" s="2"/>
    </row>
    <row r="25" spans="1:9" ht="24">
      <c r="A25" s="35"/>
      <c r="B25" s="57" t="s">
        <v>9</v>
      </c>
      <c r="C25" s="83"/>
      <c r="D25" s="10" t="s">
        <v>90</v>
      </c>
      <c r="E25" s="21">
        <v>3002</v>
      </c>
      <c r="F25" s="3"/>
      <c r="G25" s="3"/>
      <c r="H25" s="57" t="s">
        <v>9</v>
      </c>
      <c r="I25" s="2"/>
    </row>
    <row r="26" spans="1:10" ht="24">
      <c r="A26" s="35"/>
      <c r="B26" s="57">
        <f>5642700+H26</f>
        <v>7074180</v>
      </c>
      <c r="C26" s="83"/>
      <c r="D26" s="10" t="s">
        <v>91</v>
      </c>
      <c r="E26" s="21">
        <v>3002</v>
      </c>
      <c r="F26" s="3"/>
      <c r="G26" s="3"/>
      <c r="H26" s="57">
        <v>1431480</v>
      </c>
      <c r="I26" s="2"/>
      <c r="J26" t="s">
        <v>147</v>
      </c>
    </row>
    <row r="27" spans="1:9" ht="24">
      <c r="A27" s="35"/>
      <c r="B27" s="57" t="s">
        <v>9</v>
      </c>
      <c r="C27" s="83"/>
      <c r="D27" s="10" t="s">
        <v>123</v>
      </c>
      <c r="E27" s="21">
        <v>600</v>
      </c>
      <c r="F27" s="3"/>
      <c r="G27" s="3"/>
      <c r="H27" s="57" t="s">
        <v>9</v>
      </c>
      <c r="I27" s="2"/>
    </row>
    <row r="28" spans="1:9" ht="24">
      <c r="A28" s="35"/>
      <c r="B28" s="57" t="s">
        <v>9</v>
      </c>
      <c r="C28" s="83"/>
      <c r="D28" s="10" t="s">
        <v>92</v>
      </c>
      <c r="E28" s="21" t="s">
        <v>15</v>
      </c>
      <c r="F28" s="3"/>
      <c r="G28" s="3"/>
      <c r="H28" s="57" t="s">
        <v>9</v>
      </c>
      <c r="I28" s="2"/>
    </row>
    <row r="29" spans="1:10" ht="24">
      <c r="A29" s="35"/>
      <c r="B29" s="59">
        <f>SUM(B21:B28)</f>
        <v>20473495.770000003</v>
      </c>
      <c r="C29" s="84"/>
      <c r="D29" s="10"/>
      <c r="E29" s="21"/>
      <c r="F29" s="3"/>
      <c r="G29" s="3"/>
      <c r="H29" s="60">
        <f>SUM(H21:H28)</f>
        <v>1470236.87</v>
      </c>
      <c r="I29" s="2"/>
      <c r="J29" t="s">
        <v>142</v>
      </c>
    </row>
    <row r="30" spans="1:10" ht="24">
      <c r="A30" s="4"/>
      <c r="B30" s="77">
        <f>B20+B29</f>
        <v>41906034.63</v>
      </c>
      <c r="C30" s="78"/>
      <c r="D30" s="139" t="s">
        <v>93</v>
      </c>
      <c r="E30" s="16"/>
      <c r="F30" s="8"/>
      <c r="G30" s="8"/>
      <c r="H30" s="79">
        <f>H20+H29</f>
        <v>2987028.14</v>
      </c>
      <c r="I30" s="2"/>
      <c r="J30" t="s">
        <v>144</v>
      </c>
    </row>
    <row r="31" spans="1:9" ht="24">
      <c r="A31" s="3"/>
      <c r="B31" s="3"/>
      <c r="C31" s="3"/>
      <c r="D31" s="3"/>
      <c r="E31" s="11"/>
      <c r="F31" s="3"/>
      <c r="G31" s="3"/>
      <c r="H31" s="3"/>
      <c r="I31" s="2"/>
    </row>
    <row r="32" spans="1:9" ht="24">
      <c r="A32" s="3"/>
      <c r="B32" s="3"/>
      <c r="C32" s="3"/>
      <c r="D32" s="3"/>
      <c r="E32" s="11"/>
      <c r="F32" s="3"/>
      <c r="G32" s="3"/>
      <c r="H32" s="3"/>
      <c r="I32" s="2"/>
    </row>
    <row r="33" spans="1:9" ht="24" customHeight="1" hidden="1">
      <c r="A33" s="3"/>
      <c r="B33" s="3"/>
      <c r="C33" s="3"/>
      <c r="D33" s="3"/>
      <c r="E33" s="11"/>
      <c r="F33" s="3"/>
      <c r="G33" s="3"/>
      <c r="H33" s="3"/>
      <c r="I33" s="2"/>
    </row>
    <row r="34" spans="1:9" ht="24" customHeight="1" hidden="1">
      <c r="A34" s="3"/>
      <c r="B34" s="3"/>
      <c r="C34" s="3"/>
      <c r="D34" s="3"/>
      <c r="E34" s="11"/>
      <c r="F34" s="3"/>
      <c r="G34" s="3"/>
      <c r="H34" s="3"/>
      <c r="I34" s="2"/>
    </row>
    <row r="35" spans="1:9" ht="24.75" thickBot="1">
      <c r="A35" s="3"/>
      <c r="B35" s="3"/>
      <c r="C35" s="3"/>
      <c r="D35" s="3"/>
      <c r="E35" s="11"/>
      <c r="F35" s="3"/>
      <c r="G35" s="3"/>
      <c r="H35" s="3"/>
      <c r="I35" s="2"/>
    </row>
    <row r="36" spans="1:9" ht="24.75" thickTop="1">
      <c r="A36" s="38" t="s">
        <v>94</v>
      </c>
      <c r="B36" s="39"/>
      <c r="C36" s="81"/>
      <c r="D36" s="40"/>
      <c r="E36" s="40"/>
      <c r="F36" s="5"/>
      <c r="G36" s="5"/>
      <c r="H36" s="25" t="s">
        <v>74</v>
      </c>
      <c r="I36" s="2"/>
    </row>
    <row r="37" spans="1:9" ht="24">
      <c r="A37" s="41" t="s">
        <v>95</v>
      </c>
      <c r="B37" s="41" t="s">
        <v>79</v>
      </c>
      <c r="C37" s="41"/>
      <c r="D37" s="27" t="s">
        <v>77</v>
      </c>
      <c r="E37" s="27" t="s">
        <v>73</v>
      </c>
      <c r="F37" s="5"/>
      <c r="G37" s="5"/>
      <c r="H37" s="27" t="s">
        <v>79</v>
      </c>
      <c r="I37" s="2"/>
    </row>
    <row r="38" spans="1:9" ht="24.75" thickBot="1">
      <c r="A38" s="42" t="s">
        <v>82</v>
      </c>
      <c r="B38" s="42" t="s">
        <v>82</v>
      </c>
      <c r="C38" s="42"/>
      <c r="D38" s="44"/>
      <c r="E38" s="45" t="s">
        <v>78</v>
      </c>
      <c r="F38" s="43"/>
      <c r="G38" s="43"/>
      <c r="H38" s="45" t="s">
        <v>82</v>
      </c>
      <c r="I38" s="2"/>
    </row>
    <row r="39" spans="1:9" ht="24.75" thickTop="1">
      <c r="A39" s="31"/>
      <c r="B39" s="68"/>
      <c r="C39" s="36"/>
      <c r="D39" s="124" t="s">
        <v>96</v>
      </c>
      <c r="E39" s="22"/>
      <c r="F39" s="3"/>
      <c r="G39" s="3"/>
      <c r="H39" s="68"/>
      <c r="I39" s="2"/>
    </row>
    <row r="40" spans="1:9" ht="24">
      <c r="A40" s="59">
        <v>1390700</v>
      </c>
      <c r="B40" s="76">
        <f>282114+H40</f>
        <v>293114</v>
      </c>
      <c r="C40" s="83"/>
      <c r="D40" s="85" t="s">
        <v>34</v>
      </c>
      <c r="E40" s="22" t="s">
        <v>35</v>
      </c>
      <c r="F40" s="35">
        <f aca="true" t="shared" si="0" ref="F40:F50">SUM(A40:A40)</f>
        <v>1390700</v>
      </c>
      <c r="G40" s="3"/>
      <c r="H40" s="76">
        <v>11000</v>
      </c>
      <c r="I40" s="2"/>
    </row>
    <row r="41" spans="1:9" ht="24">
      <c r="A41" s="59">
        <v>2588440</v>
      </c>
      <c r="B41" s="60">
        <f>1795200+H41</f>
        <v>2052660</v>
      </c>
      <c r="C41" s="84"/>
      <c r="D41" s="86" t="s">
        <v>132</v>
      </c>
      <c r="E41" s="22" t="s">
        <v>17</v>
      </c>
      <c r="F41" s="35"/>
      <c r="G41" s="3"/>
      <c r="H41" s="60">
        <v>257460</v>
      </c>
      <c r="I41" s="2"/>
    </row>
    <row r="42" spans="1:9" ht="24">
      <c r="A42" s="59">
        <f>1854800+638670+58800+509220+61200</f>
        <v>3122690</v>
      </c>
      <c r="B42" s="60">
        <f>1458846+H42</f>
        <v>1728887</v>
      </c>
      <c r="C42" s="84"/>
      <c r="D42" s="86" t="s">
        <v>131</v>
      </c>
      <c r="E42" s="22" t="s">
        <v>17</v>
      </c>
      <c r="F42" s="35">
        <f>SUM(A42:A42)</f>
        <v>3122690</v>
      </c>
      <c r="G42" s="3"/>
      <c r="H42" s="60">
        <v>270041</v>
      </c>
      <c r="I42" s="2"/>
    </row>
    <row r="43" spans="1:9" ht="24">
      <c r="A43" s="59">
        <f>107700+18000+118580+18000</f>
        <v>262280</v>
      </c>
      <c r="B43" s="60">
        <f>127920+H43</f>
        <v>149600</v>
      </c>
      <c r="C43" s="84"/>
      <c r="D43" s="86" t="s">
        <v>18</v>
      </c>
      <c r="E43" s="22" t="s">
        <v>19</v>
      </c>
      <c r="F43" s="35">
        <f t="shared" si="0"/>
        <v>262280</v>
      </c>
      <c r="G43" s="3"/>
      <c r="H43" s="60">
        <v>21680</v>
      </c>
      <c r="I43" s="2"/>
    </row>
    <row r="44" spans="1:9" ht="24">
      <c r="A44" s="59">
        <f>821640+218400+170640+36000+23820+4500+87000+18000</f>
        <v>1380000</v>
      </c>
      <c r="B44" s="60">
        <f>550667+H44</f>
        <v>644397</v>
      </c>
      <c r="C44" s="84"/>
      <c r="D44" s="86" t="s">
        <v>20</v>
      </c>
      <c r="E44" s="22" t="s">
        <v>21</v>
      </c>
      <c r="F44" s="35">
        <f t="shared" si="0"/>
        <v>1380000</v>
      </c>
      <c r="G44" s="3"/>
      <c r="H44" s="60">
        <v>93730</v>
      </c>
      <c r="I44" s="2"/>
    </row>
    <row r="45" spans="1:9" ht="24">
      <c r="A45" s="59">
        <f>1241750+368440+52440+331440</f>
        <v>1994070</v>
      </c>
      <c r="B45" s="60">
        <f>262668+H45</f>
        <v>291609</v>
      </c>
      <c r="C45" s="84"/>
      <c r="D45" s="86" t="s">
        <v>22</v>
      </c>
      <c r="E45" s="22" t="s">
        <v>23</v>
      </c>
      <c r="F45" s="35">
        <f t="shared" si="0"/>
        <v>1994070</v>
      </c>
      <c r="G45" s="3"/>
      <c r="H45" s="60">
        <v>28941</v>
      </c>
      <c r="I45" s="2"/>
    </row>
    <row r="46" spans="1:10" ht="24">
      <c r="A46" s="59">
        <f>1135000+30000+270000+130000+450000+50000+30000+110000+70000+176000+110000+200000+550000+330000+40000+40000</f>
        <v>3721000</v>
      </c>
      <c r="B46" s="60">
        <f>1002617.25+H46</f>
        <v>1624290.25</v>
      </c>
      <c r="C46" s="84"/>
      <c r="D46" s="86" t="s">
        <v>24</v>
      </c>
      <c r="E46" s="22" t="s">
        <v>25</v>
      </c>
      <c r="F46" s="35">
        <f t="shared" si="0"/>
        <v>3721000</v>
      </c>
      <c r="G46" s="3"/>
      <c r="H46" s="60">
        <v>621673</v>
      </c>
      <c r="I46" s="2"/>
      <c r="J46" s="99"/>
    </row>
    <row r="47" spans="1:10" ht="24">
      <c r="A47" s="59">
        <f>430000+120000+90000+1128560+105000+150000+265000+320000+160000+15000+130000+75000+210000</f>
        <v>3198560</v>
      </c>
      <c r="B47" s="76">
        <f>528770.92+H47</f>
        <v>952810.7000000001</v>
      </c>
      <c r="C47" s="84"/>
      <c r="D47" s="86" t="s">
        <v>26</v>
      </c>
      <c r="E47" s="22" t="s">
        <v>97</v>
      </c>
      <c r="F47" s="35">
        <f t="shared" si="0"/>
        <v>3198560</v>
      </c>
      <c r="G47" s="3"/>
      <c r="H47" s="76">
        <v>424039.78</v>
      </c>
      <c r="I47" s="2"/>
      <c r="J47" s="99"/>
    </row>
    <row r="48" spans="1:9" ht="24">
      <c r="A48" s="59">
        <f>317600+10000+6000+80000+600000</f>
        <v>1013600</v>
      </c>
      <c r="B48" s="58">
        <v>450075.68</v>
      </c>
      <c r="C48" s="71"/>
      <c r="D48" s="86" t="s">
        <v>28</v>
      </c>
      <c r="E48" s="22" t="s">
        <v>29</v>
      </c>
      <c r="F48" s="35">
        <f t="shared" si="0"/>
        <v>1013600</v>
      </c>
      <c r="G48" s="3"/>
      <c r="H48" s="76" t="s">
        <v>9</v>
      </c>
      <c r="I48" s="2"/>
    </row>
    <row r="49" spans="1:9" ht="24">
      <c r="A49" s="59">
        <f>1615800+95000+130000+637520+79230+50000</f>
        <v>2607550</v>
      </c>
      <c r="B49" s="76">
        <v>810400</v>
      </c>
      <c r="C49" s="83"/>
      <c r="D49" s="86" t="s">
        <v>38</v>
      </c>
      <c r="E49" s="22" t="s">
        <v>39</v>
      </c>
      <c r="F49" s="35">
        <f t="shared" si="0"/>
        <v>2607550</v>
      </c>
      <c r="G49" s="3"/>
      <c r="H49" s="76" t="s">
        <v>9</v>
      </c>
      <c r="I49" s="2"/>
    </row>
    <row r="50" spans="1:9" ht="24">
      <c r="A50" s="59">
        <f>1106800+22400+30000+10000+10000+80000+200000+100000+908000+30200</f>
        <v>2497400</v>
      </c>
      <c r="B50" s="76">
        <f>116993+H50</f>
        <v>251443</v>
      </c>
      <c r="C50" s="83"/>
      <c r="D50" s="86" t="s">
        <v>30</v>
      </c>
      <c r="E50" s="22" t="s">
        <v>98</v>
      </c>
      <c r="F50" s="35">
        <f t="shared" si="0"/>
        <v>2497400</v>
      </c>
      <c r="G50" s="3"/>
      <c r="H50" s="76">
        <v>134450</v>
      </c>
      <c r="I50" s="2"/>
    </row>
    <row r="51" spans="1:9" ht="24">
      <c r="A51" s="59">
        <f>165000+53000+1142710+283000+250000+300000</f>
        <v>2193710</v>
      </c>
      <c r="B51" s="76">
        <v>108500</v>
      </c>
      <c r="C51" s="83"/>
      <c r="D51" s="86" t="s">
        <v>32</v>
      </c>
      <c r="E51" s="22" t="s">
        <v>99</v>
      </c>
      <c r="F51" s="3"/>
      <c r="G51" s="3"/>
      <c r="H51" s="76" t="s">
        <v>9</v>
      </c>
      <c r="I51" s="2"/>
    </row>
    <row r="52" spans="1:9" ht="24">
      <c r="A52" s="59">
        <f>30000</f>
        <v>30000</v>
      </c>
      <c r="B52" s="76" t="s">
        <v>9</v>
      </c>
      <c r="C52" s="83"/>
      <c r="D52" s="86" t="s">
        <v>36</v>
      </c>
      <c r="E52" s="22" t="s">
        <v>37</v>
      </c>
      <c r="F52" s="35">
        <f>SUM(A52:A52)</f>
        <v>30000</v>
      </c>
      <c r="G52" s="3"/>
      <c r="H52" s="76" t="s">
        <v>9</v>
      </c>
      <c r="I52" s="2"/>
    </row>
    <row r="53" spans="1:9" ht="27" customHeight="1" thickBot="1">
      <c r="A53" s="61">
        <f>SUM(A40:A52)</f>
        <v>26000000</v>
      </c>
      <c r="B53" s="75">
        <f>SUM(B40:B52)</f>
        <v>9357786.629999999</v>
      </c>
      <c r="C53" s="84"/>
      <c r="D53" s="86"/>
      <c r="E53" s="21"/>
      <c r="F53" s="35">
        <f>SUM(A53:A53)</f>
        <v>26000000</v>
      </c>
      <c r="G53" s="3"/>
      <c r="H53" s="75">
        <f>SUM(H40:H52)</f>
        <v>1863014.78</v>
      </c>
      <c r="I53" s="2"/>
    </row>
    <row r="54" spans="1:9" ht="22.5" customHeight="1" thickTop="1">
      <c r="A54" s="3"/>
      <c r="B54" s="57" t="s">
        <v>9</v>
      </c>
      <c r="C54" s="80"/>
      <c r="D54" s="56" t="s">
        <v>123</v>
      </c>
      <c r="E54" s="13">
        <v>600</v>
      </c>
      <c r="F54" s="3"/>
      <c r="G54" s="3"/>
      <c r="H54" s="57" t="s">
        <v>9</v>
      </c>
      <c r="I54" s="2"/>
    </row>
    <row r="55" spans="1:9" ht="21" customHeight="1">
      <c r="A55" s="3"/>
      <c r="B55" s="57">
        <f>889500+H55</f>
        <v>1992300</v>
      </c>
      <c r="C55" s="80"/>
      <c r="D55" s="56" t="s">
        <v>46</v>
      </c>
      <c r="E55" s="13">
        <v>700</v>
      </c>
      <c r="F55" s="3"/>
      <c r="G55" s="3"/>
      <c r="H55" s="57">
        <v>1102800</v>
      </c>
      <c r="I55" s="2"/>
    </row>
    <row r="56" spans="1:9" ht="22.5" customHeight="1">
      <c r="A56" s="3"/>
      <c r="B56" s="59">
        <f>47875.63+H56</f>
        <v>60295.06</v>
      </c>
      <c r="C56" s="78"/>
      <c r="D56" s="56" t="s">
        <v>157</v>
      </c>
      <c r="E56" s="13">
        <v>900</v>
      </c>
      <c r="F56" s="3"/>
      <c r="G56" s="3"/>
      <c r="H56" s="60">
        <f>'หมายเหตุประกอบรายงานรับ-จ่าย'!B27</f>
        <v>12419.43</v>
      </c>
      <c r="I56" s="2"/>
    </row>
    <row r="57" spans="1:10" ht="24" customHeight="1">
      <c r="A57" s="3"/>
      <c r="B57" s="57">
        <f>7211124+H57</f>
        <v>8333004</v>
      </c>
      <c r="C57" s="82"/>
      <c r="D57" s="56" t="s">
        <v>124</v>
      </c>
      <c r="E57" s="46">
        <v>90</v>
      </c>
      <c r="F57" s="3"/>
      <c r="G57" s="3"/>
      <c r="H57" s="57">
        <v>1121880</v>
      </c>
      <c r="I57" s="2"/>
      <c r="J57" t="s">
        <v>148</v>
      </c>
    </row>
    <row r="58" spans="1:9" ht="22.5" customHeight="1">
      <c r="A58" s="3"/>
      <c r="B58" s="57" t="s">
        <v>9</v>
      </c>
      <c r="C58" s="82"/>
      <c r="D58" s="56" t="s">
        <v>150</v>
      </c>
      <c r="E58" s="13">
        <v>3002</v>
      </c>
      <c r="F58" s="3"/>
      <c r="G58" s="3"/>
      <c r="H58" s="57" t="s">
        <v>9</v>
      </c>
      <c r="I58" s="2"/>
    </row>
    <row r="59" spans="1:9" ht="21" customHeight="1">
      <c r="A59" s="3"/>
      <c r="B59" s="57">
        <f>6559311.05+H59</f>
        <v>7662711.05</v>
      </c>
      <c r="C59" s="82"/>
      <c r="D59" s="56" t="s">
        <v>88</v>
      </c>
      <c r="E59" s="13">
        <v>3002</v>
      </c>
      <c r="F59" s="3"/>
      <c r="G59" s="3"/>
      <c r="H59" s="57">
        <v>1103400</v>
      </c>
      <c r="I59" s="2"/>
    </row>
    <row r="60" spans="1:9" ht="24" customHeight="1">
      <c r="A60" s="3"/>
      <c r="B60" s="57" t="s">
        <v>9</v>
      </c>
      <c r="C60" s="82"/>
      <c r="D60" s="56" t="s">
        <v>125</v>
      </c>
      <c r="E60" s="13">
        <v>3002</v>
      </c>
      <c r="F60" s="3"/>
      <c r="G60" s="3"/>
      <c r="H60" s="57" t="s">
        <v>9</v>
      </c>
      <c r="I60" s="2"/>
    </row>
    <row r="61" spans="1:9" ht="24.75" customHeight="1">
      <c r="A61" s="3"/>
      <c r="B61" s="57">
        <v>942870</v>
      </c>
      <c r="C61" s="80"/>
      <c r="D61" s="56" t="s">
        <v>126</v>
      </c>
      <c r="E61" s="16">
        <v>600</v>
      </c>
      <c r="F61" s="3"/>
      <c r="G61" s="3"/>
      <c r="H61" s="57" t="s">
        <v>9</v>
      </c>
      <c r="I61" s="2"/>
    </row>
    <row r="62" spans="1:9" ht="19.5" customHeight="1">
      <c r="A62" s="3"/>
      <c r="B62" s="59"/>
      <c r="C62" s="78"/>
      <c r="D62" s="3"/>
      <c r="E62" s="3"/>
      <c r="F62" s="3"/>
      <c r="G62" s="3"/>
      <c r="H62" s="59"/>
      <c r="I62" s="2"/>
    </row>
    <row r="63" spans="1:9" ht="24" customHeight="1">
      <c r="A63" s="3"/>
      <c r="B63" s="77">
        <f>SUM(B54:B62)</f>
        <v>18991180.11</v>
      </c>
      <c r="C63" s="78"/>
      <c r="D63" s="48" t="s">
        <v>100</v>
      </c>
      <c r="E63" s="3"/>
      <c r="F63" s="3"/>
      <c r="G63" s="3"/>
      <c r="H63" s="77">
        <f>SUM(H54:H62)</f>
        <v>3340499.4299999997</v>
      </c>
      <c r="I63" s="2"/>
    </row>
    <row r="64" spans="1:9" ht="25.5" customHeight="1">
      <c r="A64" s="3"/>
      <c r="B64" s="77">
        <f>B63+B53</f>
        <v>28348966.74</v>
      </c>
      <c r="C64" s="78"/>
      <c r="D64" s="3" t="s">
        <v>101</v>
      </c>
      <c r="E64" s="3"/>
      <c r="F64" s="3"/>
      <c r="G64" s="3"/>
      <c r="H64" s="77">
        <f>H63+H53</f>
        <v>5203514.21</v>
      </c>
      <c r="I64" s="2"/>
    </row>
    <row r="65" spans="1:9" ht="27" customHeight="1">
      <c r="A65" s="3"/>
      <c r="B65" s="58">
        <f>B30-B64</f>
        <v>13557067.890000004</v>
      </c>
      <c r="C65" s="80"/>
      <c r="D65" s="3" t="s">
        <v>102</v>
      </c>
      <c r="E65" s="3"/>
      <c r="F65" s="3"/>
      <c r="G65" s="3"/>
      <c r="H65" s="58">
        <f>H30-H64</f>
        <v>-2216486.07</v>
      </c>
      <c r="I65" s="2"/>
    </row>
    <row r="66" spans="1:9" ht="27" customHeight="1">
      <c r="A66" s="3"/>
      <c r="B66" s="58"/>
      <c r="C66" s="80"/>
      <c r="D66" s="3" t="s">
        <v>169</v>
      </c>
      <c r="E66" s="3"/>
      <c r="F66" s="3"/>
      <c r="G66" s="3"/>
      <c r="H66" s="58"/>
      <c r="I66" s="2"/>
    </row>
    <row r="67" spans="1:10" ht="24">
      <c r="A67" s="3"/>
      <c r="B67" s="77">
        <f>B11+B30-B64</f>
        <v>36343129.75</v>
      </c>
      <c r="C67" s="78"/>
      <c r="D67" s="48" t="s">
        <v>170</v>
      </c>
      <c r="E67" s="3"/>
      <c r="F67" s="3"/>
      <c r="G67" s="3"/>
      <c r="H67" s="77">
        <f>H11+H30-H64</f>
        <v>36343129.75</v>
      </c>
      <c r="I67" s="2"/>
      <c r="J67" t="s">
        <v>161</v>
      </c>
    </row>
    <row r="68" spans="1:9" ht="24">
      <c r="A68" s="3"/>
      <c r="B68" s="78"/>
      <c r="C68" s="78"/>
      <c r="D68" s="48"/>
      <c r="E68" s="3"/>
      <c r="F68" s="3"/>
      <c r="G68" s="3"/>
      <c r="H68" s="78"/>
      <c r="I68" s="2"/>
    </row>
    <row r="69" spans="1:9" ht="24">
      <c r="A69" s="3"/>
      <c r="B69" s="78"/>
      <c r="C69" s="78"/>
      <c r="D69" s="6"/>
      <c r="E69" s="3"/>
      <c r="F69" s="3"/>
      <c r="G69" s="3"/>
      <c r="H69" s="78"/>
      <c r="I69" s="2"/>
    </row>
    <row r="70" spans="1:9" ht="24">
      <c r="A70" s="125" t="s">
        <v>178</v>
      </c>
      <c r="B70" s="125"/>
      <c r="C70" s="125"/>
      <c r="D70" s="125"/>
      <c r="E70" s="3"/>
      <c r="F70" s="3"/>
      <c r="G70" s="3"/>
      <c r="H70" s="3"/>
      <c r="I70" s="1"/>
    </row>
    <row r="71" spans="1:9" ht="24">
      <c r="A71" s="142" t="s">
        <v>196</v>
      </c>
      <c r="B71" s="142"/>
      <c r="C71" s="142"/>
      <c r="D71" s="142"/>
      <c r="E71" s="142"/>
      <c r="F71" s="142"/>
      <c r="G71" s="142"/>
      <c r="H71" s="142"/>
      <c r="I71" s="1"/>
    </row>
    <row r="72" spans="1:9" ht="24" customHeight="1">
      <c r="A72" s="145" t="s">
        <v>198</v>
      </c>
      <c r="B72" s="145"/>
      <c r="C72" s="145"/>
      <c r="D72" s="145"/>
      <c r="E72" s="145"/>
      <c r="F72" s="145"/>
      <c r="G72" s="145"/>
      <c r="H72" s="145"/>
      <c r="I72" s="1"/>
    </row>
    <row r="73" spans="1:9" ht="24">
      <c r="A73" s="142"/>
      <c r="B73" s="142"/>
      <c r="C73" s="142"/>
      <c r="D73" s="142"/>
      <c r="E73" s="3"/>
      <c r="F73" s="3"/>
      <c r="G73" s="3"/>
      <c r="H73" s="3"/>
      <c r="I73" s="1"/>
    </row>
    <row r="74" spans="1:9" ht="24">
      <c r="A74" s="2"/>
      <c r="B74" s="2"/>
      <c r="C74" s="2"/>
      <c r="D74" s="2"/>
      <c r="E74" s="2"/>
      <c r="F74" s="2"/>
      <c r="G74" s="2"/>
      <c r="H74" s="2"/>
      <c r="I74" s="2"/>
    </row>
    <row r="75" spans="1:9" ht="24">
      <c r="A75" s="2"/>
      <c r="B75" s="2"/>
      <c r="C75" s="2"/>
      <c r="D75" s="2"/>
      <c r="E75" s="2"/>
      <c r="F75" s="2"/>
      <c r="G75" s="2"/>
      <c r="H75" s="2"/>
      <c r="I75" s="2"/>
    </row>
    <row r="76" spans="1:9" ht="24">
      <c r="A76" s="2"/>
      <c r="B76" s="2"/>
      <c r="C76" s="2"/>
      <c r="D76" s="2"/>
      <c r="E76" s="2"/>
      <c r="F76" s="2"/>
      <c r="G76" s="2"/>
      <c r="H76" s="2"/>
      <c r="I76" s="2"/>
    </row>
    <row r="77" spans="1:9" ht="24">
      <c r="A77" s="2"/>
      <c r="B77" s="2"/>
      <c r="C77" s="2"/>
      <c r="D77" s="2"/>
      <c r="E77" s="2"/>
      <c r="F77" s="2"/>
      <c r="G77" s="2"/>
      <c r="H77" s="2"/>
      <c r="I77" s="2"/>
    </row>
    <row r="78" spans="1:9" ht="24">
      <c r="A78" s="2"/>
      <c r="B78" s="2"/>
      <c r="C78" s="2"/>
      <c r="D78" s="2"/>
      <c r="E78" s="2"/>
      <c r="F78" s="2"/>
      <c r="G78" s="2"/>
      <c r="H78" s="2"/>
      <c r="I78" s="2"/>
    </row>
    <row r="79" spans="1:9" ht="24">
      <c r="A79" s="2"/>
      <c r="B79" s="2"/>
      <c r="C79" s="2"/>
      <c r="D79" s="2"/>
      <c r="E79" s="2"/>
      <c r="F79" s="2"/>
      <c r="G79" s="2"/>
      <c r="H79" s="2"/>
      <c r="I79" s="2"/>
    </row>
    <row r="80" spans="1:9" ht="24">
      <c r="A80" s="2"/>
      <c r="B80" s="2"/>
      <c r="C80" s="2"/>
      <c r="D80" s="2"/>
      <c r="E80" s="2"/>
      <c r="F80" s="2"/>
      <c r="G80" s="2"/>
      <c r="H80" s="2"/>
      <c r="I80" s="2"/>
    </row>
    <row r="81" spans="1:9" ht="24">
      <c r="A81" s="2"/>
      <c r="B81" s="2"/>
      <c r="C81" s="2"/>
      <c r="D81" s="2"/>
      <c r="E81" s="2"/>
      <c r="F81" s="2"/>
      <c r="G81" s="2"/>
      <c r="H81" s="2"/>
      <c r="I81" s="2"/>
    </row>
    <row r="82" spans="1:9" ht="24">
      <c r="A82" s="2"/>
      <c r="B82" s="2"/>
      <c r="C82" s="2"/>
      <c r="D82" s="2"/>
      <c r="E82" s="2"/>
      <c r="F82" s="2"/>
      <c r="G82" s="2"/>
      <c r="H82" s="2"/>
      <c r="I82" s="2"/>
    </row>
    <row r="83" spans="1:9" ht="24">
      <c r="A83" s="2"/>
      <c r="B83" s="2"/>
      <c r="C83" s="2"/>
      <c r="D83" s="2"/>
      <c r="E83" s="2"/>
      <c r="F83" s="2"/>
      <c r="G83" s="2"/>
      <c r="H83" s="2"/>
      <c r="I83" s="2"/>
    </row>
    <row r="84" spans="1:9" ht="24">
      <c r="A84" s="2"/>
      <c r="B84" s="2"/>
      <c r="C84" s="2"/>
      <c r="D84" s="2"/>
      <c r="E84" s="2"/>
      <c r="F84" s="2"/>
      <c r="G84" s="2"/>
      <c r="H84" s="2"/>
      <c r="I84" s="2"/>
    </row>
    <row r="85" spans="1:9" ht="24">
      <c r="A85" s="2"/>
      <c r="B85" s="2"/>
      <c r="C85" s="2"/>
      <c r="D85" s="2"/>
      <c r="E85" s="2"/>
      <c r="F85" s="2"/>
      <c r="G85" s="2"/>
      <c r="H85" s="2"/>
      <c r="I85" s="2"/>
    </row>
    <row r="86" spans="1:9" ht="24">
      <c r="A86" s="2"/>
      <c r="B86" s="2"/>
      <c r="C86" s="2"/>
      <c r="D86" s="2"/>
      <c r="E86" s="2"/>
      <c r="F86" s="2"/>
      <c r="G86" s="2"/>
      <c r="H86" s="2"/>
      <c r="I86" s="2"/>
    </row>
    <row r="87" spans="1:9" ht="24">
      <c r="A87" s="2"/>
      <c r="B87" s="2"/>
      <c r="C87" s="2"/>
      <c r="D87" s="2"/>
      <c r="E87" s="2"/>
      <c r="F87" s="2"/>
      <c r="G87" s="2"/>
      <c r="H87" s="2"/>
      <c r="I87" s="2"/>
    </row>
    <row r="88" spans="1:9" ht="24">
      <c r="A88" s="2"/>
      <c r="B88" s="2"/>
      <c r="C88" s="2"/>
      <c r="D88" s="2"/>
      <c r="E88" s="2"/>
      <c r="F88" s="2"/>
      <c r="G88" s="2"/>
      <c r="H88" s="2"/>
      <c r="I88" s="2"/>
    </row>
    <row r="89" spans="1:9" ht="24">
      <c r="A89" s="2"/>
      <c r="B89" s="2"/>
      <c r="C89" s="2"/>
      <c r="D89" s="2"/>
      <c r="E89" s="2"/>
      <c r="F89" s="2"/>
      <c r="G89" s="2"/>
      <c r="H89" s="2"/>
      <c r="I89" s="2"/>
    </row>
    <row r="90" spans="1:9" ht="24">
      <c r="A90" s="2"/>
      <c r="B90" s="2"/>
      <c r="C90" s="2"/>
      <c r="D90" s="2"/>
      <c r="E90" s="2"/>
      <c r="F90" s="2"/>
      <c r="G90" s="2"/>
      <c r="H90" s="2"/>
      <c r="I90" s="2"/>
    </row>
    <row r="91" spans="1:9" ht="24">
      <c r="A91" s="2"/>
      <c r="B91" s="2"/>
      <c r="C91" s="2"/>
      <c r="D91" s="2"/>
      <c r="E91" s="2"/>
      <c r="F91" s="2"/>
      <c r="G91" s="2"/>
      <c r="H91" s="2"/>
      <c r="I91" s="2"/>
    </row>
    <row r="92" spans="1:9" ht="24">
      <c r="A92" s="2"/>
      <c r="B92" s="2"/>
      <c r="C92" s="2"/>
      <c r="D92" s="2"/>
      <c r="E92" s="2"/>
      <c r="F92" s="2"/>
      <c r="G92" s="2"/>
      <c r="H92" s="2"/>
      <c r="I92" s="2"/>
    </row>
    <row r="93" spans="1:9" ht="24">
      <c r="A93" s="2"/>
      <c r="B93" s="2"/>
      <c r="C93" s="2"/>
      <c r="D93" s="2"/>
      <c r="E93" s="2"/>
      <c r="F93" s="2"/>
      <c r="G93" s="2"/>
      <c r="H93" s="2"/>
      <c r="I93" s="2"/>
    </row>
    <row r="94" spans="1:9" ht="24">
      <c r="A94" s="2"/>
      <c r="B94" s="2"/>
      <c r="C94" s="2"/>
      <c r="D94" s="2"/>
      <c r="E94" s="2"/>
      <c r="F94" s="2"/>
      <c r="G94" s="2"/>
      <c r="H94" s="2"/>
      <c r="I94" s="2"/>
    </row>
    <row r="95" spans="1:9" ht="24">
      <c r="A95" s="2"/>
      <c r="B95" s="2"/>
      <c r="C95" s="2"/>
      <c r="D95" s="2"/>
      <c r="E95" s="2"/>
      <c r="F95" s="2"/>
      <c r="G95" s="2"/>
      <c r="H95" s="2"/>
      <c r="I95" s="2"/>
    </row>
    <row r="96" spans="1:9" ht="24">
      <c r="A96" s="2"/>
      <c r="B96" s="2"/>
      <c r="C96" s="2"/>
      <c r="D96" s="2"/>
      <c r="E96" s="2"/>
      <c r="F96" s="2"/>
      <c r="G96" s="2"/>
      <c r="H96" s="2"/>
      <c r="I96" s="2"/>
    </row>
    <row r="97" spans="1:9" ht="24">
      <c r="A97" s="2"/>
      <c r="B97" s="2"/>
      <c r="C97" s="2"/>
      <c r="D97" s="2"/>
      <c r="E97" s="2"/>
      <c r="F97" s="2"/>
      <c r="G97" s="2"/>
      <c r="H97" s="2"/>
      <c r="I97" s="2"/>
    </row>
    <row r="98" spans="1:9" ht="24">
      <c r="A98" s="2"/>
      <c r="B98" s="2"/>
      <c r="C98" s="2"/>
      <c r="D98" s="2"/>
      <c r="E98" s="2"/>
      <c r="F98" s="2"/>
      <c r="G98" s="2"/>
      <c r="H98" s="2"/>
      <c r="I98" s="2"/>
    </row>
    <row r="99" spans="1:9" ht="24">
      <c r="A99" s="2"/>
      <c r="B99" s="2"/>
      <c r="C99" s="2"/>
      <c r="D99" s="2"/>
      <c r="E99" s="2"/>
      <c r="F99" s="2"/>
      <c r="G99" s="2"/>
      <c r="H99" s="2"/>
      <c r="I99" s="2"/>
    </row>
    <row r="100" spans="1:9" ht="24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24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24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24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24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24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24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24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24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24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24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24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24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24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24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24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24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24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24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24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24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24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24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24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24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24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24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24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24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24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24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24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24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24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24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24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24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24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24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24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24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24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24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24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24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24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24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24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24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24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24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24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24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24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24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24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24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24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24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24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24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24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24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24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24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24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24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24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24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24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24">
      <c r="A854" s="2"/>
      <c r="B854" s="2"/>
      <c r="C854" s="2"/>
      <c r="D854" s="2"/>
      <c r="E854" s="2"/>
      <c r="F854" s="2"/>
      <c r="G854" s="2"/>
      <c r="H854" s="2"/>
      <c r="I854" s="2"/>
    </row>
  </sheetData>
  <mergeCells count="3">
    <mergeCell ref="A73:D73"/>
    <mergeCell ref="A72:H72"/>
    <mergeCell ref="A71:H71"/>
  </mergeCells>
  <printOptions/>
  <pageMargins left="1.07" right="0.14" top="0.28" bottom="0.14" header="0.17" footer="0.14"/>
  <pageSetup horizontalDpi="600" verticalDpi="600" orientation="portrait" paperSize="9" scale="97" r:id="rId2"/>
  <rowBreaks count="2" manualBreakCount="2">
    <brk id="35" max="10" man="1"/>
    <brk id="7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22">
      <selection activeCell="A41" sqref="A38:A41"/>
    </sheetView>
  </sheetViews>
  <sheetFormatPr defaultColWidth="9.140625" defaultRowHeight="21.75"/>
  <cols>
    <col min="1" max="1" width="47.00390625" style="0" customWidth="1"/>
    <col min="2" max="2" width="18.8515625" style="0" customWidth="1"/>
  </cols>
  <sheetData>
    <row r="1" spans="1:5" ht="24">
      <c r="A1" s="6" t="s">
        <v>195</v>
      </c>
      <c r="B1" s="3"/>
      <c r="C1" s="3"/>
      <c r="D1" s="3"/>
      <c r="E1" s="2"/>
    </row>
    <row r="2" spans="1:5" ht="24">
      <c r="A2" s="3" t="s">
        <v>103</v>
      </c>
      <c r="B2" s="3"/>
      <c r="C2" s="3"/>
      <c r="D2" s="3"/>
      <c r="E2" s="2"/>
    </row>
    <row r="3" spans="1:5" ht="24">
      <c r="A3" s="18" t="s">
        <v>104</v>
      </c>
      <c r="B3" s="9" t="s">
        <v>105</v>
      </c>
      <c r="C3" s="3"/>
      <c r="D3" s="3"/>
      <c r="E3" s="2"/>
    </row>
    <row r="4" spans="1:3" ht="21.75">
      <c r="A4" s="47" t="s">
        <v>106</v>
      </c>
      <c r="B4" s="92">
        <v>15074.31</v>
      </c>
      <c r="C4" s="47"/>
    </row>
    <row r="5" spans="1:3" ht="21.75">
      <c r="A5" s="47" t="s">
        <v>107</v>
      </c>
      <c r="B5" s="92">
        <v>1039.2</v>
      </c>
      <c r="C5" s="47"/>
    </row>
    <row r="6" spans="1:3" ht="21.75">
      <c r="A6" s="47" t="s">
        <v>108</v>
      </c>
      <c r="B6" s="91">
        <v>1247.04</v>
      </c>
      <c r="C6" s="47"/>
    </row>
    <row r="7" spans="1:3" ht="21.75">
      <c r="A7" s="47" t="s">
        <v>51</v>
      </c>
      <c r="B7" s="92">
        <v>3340</v>
      </c>
      <c r="C7" s="47"/>
    </row>
    <row r="8" spans="1:3" ht="21.75">
      <c r="A8" s="47" t="s">
        <v>109</v>
      </c>
      <c r="B8" s="92" t="s">
        <v>9</v>
      </c>
      <c r="C8" s="47"/>
    </row>
    <row r="9" spans="1:3" ht="21.75">
      <c r="A9" s="47" t="s">
        <v>110</v>
      </c>
      <c r="B9" s="92" t="s">
        <v>9</v>
      </c>
      <c r="C9" s="47"/>
    </row>
    <row r="10" spans="1:3" ht="21.75">
      <c r="A10" s="47" t="s">
        <v>120</v>
      </c>
      <c r="B10" s="92" t="s">
        <v>9</v>
      </c>
      <c r="C10" s="47"/>
    </row>
    <row r="11" spans="1:3" ht="21.75">
      <c r="A11" s="47" t="s">
        <v>149</v>
      </c>
      <c r="B11" s="92" t="s">
        <v>9</v>
      </c>
      <c r="C11" s="47"/>
    </row>
    <row r="12" spans="1:3" ht="21.75">
      <c r="A12" s="47" t="s">
        <v>156</v>
      </c>
      <c r="B12" s="92" t="s">
        <v>9</v>
      </c>
      <c r="C12" s="47"/>
    </row>
    <row r="13" spans="1:3" ht="22.5" thickBot="1">
      <c r="A13" s="47"/>
      <c r="B13" s="93">
        <f>SUM(B4:B12)</f>
        <v>20700.55</v>
      </c>
      <c r="C13" s="47"/>
    </row>
    <row r="14" spans="1:3" ht="22.5" thickTop="1">
      <c r="A14" s="47"/>
      <c r="B14" s="47"/>
      <c r="C14" s="47"/>
    </row>
    <row r="15" spans="1:3" ht="21.75">
      <c r="A15" s="47"/>
      <c r="B15" s="47"/>
      <c r="C15" s="47"/>
    </row>
    <row r="16" spans="1:3" ht="21.75">
      <c r="A16" s="47"/>
      <c r="B16" s="47"/>
      <c r="C16" s="47"/>
    </row>
    <row r="17" spans="1:3" ht="21.75">
      <c r="A17" s="47"/>
      <c r="B17" s="47"/>
      <c r="C17" s="47"/>
    </row>
    <row r="18" spans="1:3" ht="23.25">
      <c r="A18" s="6" t="s">
        <v>194</v>
      </c>
      <c r="B18" s="3"/>
      <c r="C18" s="47"/>
    </row>
    <row r="19" spans="1:3" ht="23.25">
      <c r="A19" s="3" t="s">
        <v>111</v>
      </c>
      <c r="B19" s="3"/>
      <c r="C19" s="47"/>
    </row>
    <row r="20" spans="1:3" ht="23.25">
      <c r="A20" s="18" t="s">
        <v>104</v>
      </c>
      <c r="B20" s="9" t="s">
        <v>105</v>
      </c>
      <c r="C20" s="47"/>
    </row>
    <row r="21" spans="1:3" ht="21.75">
      <c r="A21" s="47" t="s">
        <v>106</v>
      </c>
      <c r="B21" s="90">
        <v>4831.71</v>
      </c>
      <c r="C21" s="47"/>
    </row>
    <row r="22" spans="1:3" ht="21.75">
      <c r="A22" s="47" t="s">
        <v>107</v>
      </c>
      <c r="B22" s="92" t="s">
        <v>9</v>
      </c>
      <c r="C22" s="47"/>
    </row>
    <row r="23" spans="1:3" ht="21.75">
      <c r="A23" s="47" t="s">
        <v>112</v>
      </c>
      <c r="B23" s="92">
        <v>7587.72</v>
      </c>
      <c r="C23" s="47"/>
    </row>
    <row r="24" spans="1:3" ht="21.75">
      <c r="A24" s="47" t="s">
        <v>51</v>
      </c>
      <c r="B24" s="92" t="s">
        <v>9</v>
      </c>
      <c r="C24" s="47"/>
    </row>
    <row r="25" spans="1:3" ht="21.75">
      <c r="A25" s="47" t="s">
        <v>109</v>
      </c>
      <c r="B25" s="92" t="s">
        <v>9</v>
      </c>
      <c r="C25" s="47"/>
    </row>
    <row r="26" spans="1:3" ht="21.75">
      <c r="A26" s="47" t="s">
        <v>120</v>
      </c>
      <c r="B26" s="92" t="s">
        <v>9</v>
      </c>
      <c r="C26" s="47"/>
    </row>
    <row r="27" spans="1:3" ht="22.5" thickBot="1">
      <c r="A27" s="47"/>
      <c r="B27" s="93">
        <f>SUM(B21:B26)</f>
        <v>12419.43</v>
      </c>
      <c r="C27" s="47"/>
    </row>
    <row r="28" spans="1:3" ht="22.5" thickTop="1">
      <c r="A28" s="47"/>
      <c r="B28" s="47"/>
      <c r="C28" s="47"/>
    </row>
    <row r="29" spans="1:9" ht="24">
      <c r="A29" s="125"/>
      <c r="B29" s="125"/>
      <c r="C29" s="125"/>
      <c r="D29" s="125"/>
      <c r="E29" s="125"/>
      <c r="F29" s="3"/>
      <c r="G29" s="3"/>
      <c r="H29" s="3"/>
      <c r="I29" s="1"/>
    </row>
    <row r="30" spans="1:9" ht="24">
      <c r="A30" s="56" t="s">
        <v>179</v>
      </c>
      <c r="B30" s="56"/>
      <c r="C30" s="56"/>
      <c r="D30" s="56"/>
      <c r="E30" s="56"/>
      <c r="F30" s="56"/>
      <c r="G30" s="3"/>
      <c r="H30" s="3"/>
      <c r="I30" s="1"/>
    </row>
    <row r="31" spans="1:8" ht="23.25">
      <c r="A31" s="146" t="s">
        <v>197</v>
      </c>
      <c r="B31" s="146"/>
      <c r="C31" s="146"/>
      <c r="D31" s="146"/>
      <c r="E31" s="146"/>
      <c r="F31" s="146"/>
      <c r="G31" s="125"/>
      <c r="H31" s="125"/>
    </row>
    <row r="32" spans="1:8" ht="23.25">
      <c r="A32" s="146" t="s">
        <v>199</v>
      </c>
      <c r="B32" s="146"/>
      <c r="C32" s="146"/>
      <c r="D32" s="146"/>
      <c r="E32" s="146"/>
      <c r="F32" s="146"/>
      <c r="G32" s="125"/>
      <c r="H32" s="125"/>
    </row>
  </sheetData>
  <mergeCells count="2">
    <mergeCell ref="A31:F31"/>
    <mergeCell ref="A32:F32"/>
  </mergeCells>
  <printOptions/>
  <pageMargins left="0.84" right="0.15" top="1" bottom="1" header="0.5" footer="0.5"/>
  <pageSetup horizontalDpi="600" verticalDpi="600" orientation="portrait" paperSize="9" scale="98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29" sqref="B29"/>
    </sheetView>
  </sheetViews>
  <sheetFormatPr defaultColWidth="9.140625" defaultRowHeight="21.75"/>
  <cols>
    <col min="1" max="1" width="28.421875" style="47" customWidth="1"/>
    <col min="2" max="2" width="16.00390625" style="47" customWidth="1"/>
    <col min="3" max="3" width="9.140625" style="47" customWidth="1"/>
    <col min="4" max="4" width="14.28125" style="55" customWidth="1"/>
    <col min="5" max="5" width="4.140625" style="47" customWidth="1"/>
    <col min="6" max="6" width="6.00390625" style="47" customWidth="1"/>
    <col min="7" max="7" width="15.28125" style="47" customWidth="1"/>
    <col min="8" max="8" width="9.140625" style="47" hidden="1" customWidth="1"/>
    <col min="9" max="9" width="3.421875" style="47" hidden="1" customWidth="1"/>
    <col min="10" max="12" width="9.140625" style="47" hidden="1" customWidth="1"/>
    <col min="13" max="16384" width="9.140625" style="47" customWidth="1"/>
  </cols>
  <sheetData>
    <row r="1" spans="1:10" ht="26.25">
      <c r="A1" s="147" t="s">
        <v>135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6.25">
      <c r="A2" s="147" t="s">
        <v>200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7" ht="23.25">
      <c r="A3" s="48" t="s">
        <v>114</v>
      </c>
      <c r="B3" s="48"/>
      <c r="C3" s="48"/>
      <c r="D3" s="121" t="s">
        <v>117</v>
      </c>
      <c r="E3" s="48"/>
      <c r="F3" s="48"/>
      <c r="G3" s="48" t="s">
        <v>118</v>
      </c>
    </row>
    <row r="4" spans="1:7" s="3" customFormat="1" ht="23.25">
      <c r="A4" s="3" t="s">
        <v>134</v>
      </c>
      <c r="C4" s="49"/>
      <c r="D4" s="51">
        <v>270041</v>
      </c>
      <c r="E4" s="49"/>
      <c r="F4" s="51"/>
      <c r="G4" s="51">
        <f>1209674+D4</f>
        <v>1479715</v>
      </c>
    </row>
    <row r="5" spans="1:7" s="3" customFormat="1" ht="23.25">
      <c r="A5" s="3" t="s">
        <v>136</v>
      </c>
      <c r="C5" s="49"/>
      <c r="D5" s="51">
        <v>257460</v>
      </c>
      <c r="E5" s="49"/>
      <c r="F5" s="51"/>
      <c r="G5" s="51">
        <f>1537740+D5</f>
        <v>1795200</v>
      </c>
    </row>
    <row r="6" spans="1:7" s="3" customFormat="1" ht="23.25">
      <c r="A6" s="3" t="s">
        <v>18</v>
      </c>
      <c r="C6" s="49"/>
      <c r="D6" s="51">
        <v>21680</v>
      </c>
      <c r="E6" s="49"/>
      <c r="F6" s="51"/>
      <c r="G6" s="51">
        <f>106600+D6</f>
        <v>128280</v>
      </c>
    </row>
    <row r="7" spans="1:7" s="3" customFormat="1" ht="23.25">
      <c r="A7" s="3" t="s">
        <v>20</v>
      </c>
      <c r="C7" s="49"/>
      <c r="D7" s="51">
        <v>93730</v>
      </c>
      <c r="E7" s="49"/>
      <c r="F7" s="51"/>
      <c r="G7" s="51">
        <f>456937+D7</f>
        <v>550667</v>
      </c>
    </row>
    <row r="8" spans="1:7" s="3" customFormat="1" ht="23.25">
      <c r="A8" s="3" t="s">
        <v>22</v>
      </c>
      <c r="C8" s="49"/>
      <c r="D8" s="51">
        <v>28941</v>
      </c>
      <c r="E8" s="49"/>
      <c r="F8" s="51"/>
      <c r="G8" s="51">
        <f>128191+D8</f>
        <v>157132</v>
      </c>
    </row>
    <row r="9" spans="1:8" s="3" customFormat="1" ht="23.25">
      <c r="A9" s="3" t="s">
        <v>24</v>
      </c>
      <c r="C9" s="49"/>
      <c r="D9" s="51">
        <v>621673</v>
      </c>
      <c r="E9" s="49"/>
      <c r="F9" s="51"/>
      <c r="G9" s="51">
        <f>423867.87+D9</f>
        <v>1045540.87</v>
      </c>
      <c r="H9" s="53">
        <f>SUM(D9:G9)</f>
        <v>1667213.87</v>
      </c>
    </row>
    <row r="10" spans="1:7" s="3" customFormat="1" ht="23.25">
      <c r="A10" s="3" t="s">
        <v>26</v>
      </c>
      <c r="C10" s="49"/>
      <c r="D10" s="51">
        <v>424039.78</v>
      </c>
      <c r="E10" s="49"/>
      <c r="F10" s="51"/>
      <c r="G10" s="51">
        <f>269296.24+D10</f>
        <v>693336.02</v>
      </c>
    </row>
    <row r="11" spans="1:7" s="3" customFormat="1" ht="23.25">
      <c r="A11" s="3" t="s">
        <v>28</v>
      </c>
      <c r="C11" s="49"/>
      <c r="D11" s="51">
        <v>0</v>
      </c>
      <c r="E11" s="49"/>
      <c r="F11" s="51"/>
      <c r="G11" s="51">
        <f>302619.47</f>
        <v>302619.47</v>
      </c>
    </row>
    <row r="12" spans="1:7" s="3" customFormat="1" ht="23.25">
      <c r="A12" s="3" t="s">
        <v>115</v>
      </c>
      <c r="C12" s="49"/>
      <c r="D12" s="51">
        <v>134450</v>
      </c>
      <c r="E12" s="49"/>
      <c r="F12" s="51"/>
      <c r="G12" s="51">
        <f>5293+D12</f>
        <v>139743</v>
      </c>
    </row>
    <row r="13" spans="1:7" s="3" customFormat="1" ht="23.25">
      <c r="A13" s="3" t="s">
        <v>116</v>
      </c>
      <c r="C13" s="49"/>
      <c r="D13" s="51">
        <v>0</v>
      </c>
      <c r="E13" s="49"/>
      <c r="F13" s="51"/>
      <c r="G13" s="51">
        <f>108500</f>
        <v>108500</v>
      </c>
    </row>
    <row r="14" spans="1:7" s="3" customFormat="1" ht="23.25">
      <c r="A14" s="3" t="s">
        <v>34</v>
      </c>
      <c r="C14" s="49"/>
      <c r="D14" s="51">
        <v>11000</v>
      </c>
      <c r="E14" s="49"/>
      <c r="F14" s="51"/>
      <c r="G14" s="51">
        <f>80114+D14</f>
        <v>91114</v>
      </c>
    </row>
    <row r="15" spans="1:7" s="3" customFormat="1" ht="23.25">
      <c r="A15" s="3" t="s">
        <v>36</v>
      </c>
      <c r="C15" s="49"/>
      <c r="D15" s="51">
        <v>0</v>
      </c>
      <c r="E15" s="49"/>
      <c r="F15" s="51"/>
      <c r="G15" s="51">
        <f>E15</f>
        <v>0</v>
      </c>
    </row>
    <row r="16" spans="1:7" s="3" customFormat="1" ht="23.25">
      <c r="A16" s="3" t="s">
        <v>38</v>
      </c>
      <c r="C16" s="49"/>
      <c r="D16" s="51">
        <v>0</v>
      </c>
      <c r="E16" s="49"/>
      <c r="F16" s="51"/>
      <c r="G16" s="51">
        <f>182929.27+D16</f>
        <v>182929.27</v>
      </c>
    </row>
    <row r="17" spans="3:7" s="3" customFormat="1" ht="24" thickBot="1">
      <c r="C17" s="49"/>
      <c r="D17" s="126">
        <f>SUM(D4:D16)</f>
        <v>1863014.78</v>
      </c>
      <c r="E17" s="127"/>
      <c r="F17" s="127"/>
      <c r="G17" s="128">
        <f>SUM(G4:G16)</f>
        <v>6674776.63</v>
      </c>
    </row>
    <row r="18" spans="3:7" s="3" customFormat="1" ht="24" thickTop="1">
      <c r="C18" s="49"/>
      <c r="D18" s="100"/>
      <c r="E18" s="49"/>
      <c r="F18" s="49"/>
      <c r="G18" s="49"/>
    </row>
    <row r="19" spans="1:7" ht="21">
      <c r="A19" s="94" t="s">
        <v>201</v>
      </c>
      <c r="B19" s="104">
        <f>'งบรับ-จ่าย ประจำเดือน '!B20-'งบรับ-จ่าย ประจำเดือน '!B19</f>
        <v>8807184.86</v>
      </c>
      <c r="C19" s="105"/>
      <c r="D19" s="104"/>
      <c r="E19" s="105"/>
      <c r="F19" s="105"/>
      <c r="G19" s="50"/>
    </row>
    <row r="20" spans="1:7" ht="21">
      <c r="A20" s="94" t="s">
        <v>202</v>
      </c>
      <c r="B20" s="104">
        <f>G17</f>
        <v>6674776.63</v>
      </c>
      <c r="C20" s="105"/>
      <c r="D20" s="104"/>
      <c r="E20" s="105"/>
      <c r="F20" s="105"/>
      <c r="G20" s="50"/>
    </row>
    <row r="21" spans="1:7" ht="21">
      <c r="A21" s="94" t="s">
        <v>203</v>
      </c>
      <c r="B21" s="106">
        <f>B19-B20</f>
        <v>2132408.2299999995</v>
      </c>
      <c r="C21" s="105"/>
      <c r="D21" s="104"/>
      <c r="E21" s="105"/>
      <c r="F21" s="105"/>
      <c r="G21" s="50"/>
    </row>
    <row r="22" spans="3:7" ht="21">
      <c r="C22" s="50"/>
      <c r="E22" s="50"/>
      <c r="F22" s="50"/>
      <c r="G22" s="50"/>
    </row>
    <row r="23" spans="3:7" ht="21">
      <c r="C23" s="50"/>
      <c r="E23" s="50"/>
      <c r="F23" s="50"/>
      <c r="G23" s="50"/>
    </row>
    <row r="24" spans="3:7" ht="21">
      <c r="C24" s="50"/>
      <c r="E24" s="50"/>
      <c r="F24" s="50"/>
      <c r="G24" s="50"/>
    </row>
    <row r="25" spans="3:7" ht="21">
      <c r="C25" s="50"/>
      <c r="E25" s="50"/>
      <c r="F25" s="50"/>
      <c r="G25" s="50"/>
    </row>
    <row r="26" spans="3:7" ht="21">
      <c r="C26" s="50"/>
      <c r="E26" s="50"/>
      <c r="F26" s="50"/>
      <c r="G26" s="50"/>
    </row>
    <row r="27" spans="3:7" ht="21">
      <c r="C27" s="50"/>
      <c r="E27" s="50"/>
      <c r="F27" s="50"/>
      <c r="G27" s="50"/>
    </row>
  </sheetData>
  <mergeCells count="2">
    <mergeCell ref="A1:J1"/>
    <mergeCell ref="A2:J2"/>
  </mergeCells>
  <printOptions/>
  <pageMargins left="0.75" right="0.3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P10" sqref="P10"/>
    </sheetView>
  </sheetViews>
  <sheetFormatPr defaultColWidth="9.140625" defaultRowHeight="21.75"/>
  <cols>
    <col min="1" max="1" width="20.00390625" style="47" customWidth="1"/>
    <col min="2" max="2" width="11.140625" style="47" customWidth="1"/>
    <col min="3" max="3" width="9.140625" style="47" customWidth="1"/>
    <col min="4" max="4" width="14.28125" style="47" customWidth="1"/>
    <col min="5" max="6" width="9.140625" style="47" customWidth="1"/>
    <col min="7" max="7" width="15.28125" style="47" customWidth="1"/>
    <col min="8" max="8" width="9.140625" style="47" hidden="1" customWidth="1"/>
    <col min="9" max="9" width="3.421875" style="47" hidden="1" customWidth="1"/>
    <col min="10" max="12" width="9.140625" style="47" hidden="1" customWidth="1"/>
    <col min="13" max="16384" width="9.140625" style="47" customWidth="1"/>
  </cols>
  <sheetData>
    <row r="1" spans="1:10" ht="26.25">
      <c r="A1" s="147" t="s">
        <v>119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6.25">
      <c r="A2" s="147" t="s">
        <v>204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7" ht="23.25">
      <c r="A3" s="48" t="s">
        <v>114</v>
      </c>
      <c r="B3" s="48"/>
      <c r="C3" s="48"/>
      <c r="D3" s="48" t="s">
        <v>117</v>
      </c>
      <c r="E3" s="48"/>
      <c r="F3" s="48"/>
      <c r="G3" s="48" t="s">
        <v>118</v>
      </c>
    </row>
    <row r="4" spans="1:7" s="3" customFormat="1" ht="23.25">
      <c r="A4" s="3" t="s">
        <v>16</v>
      </c>
      <c r="C4" s="49"/>
      <c r="D4" s="49">
        <v>0</v>
      </c>
      <c r="E4" s="49"/>
      <c r="F4" s="49"/>
      <c r="G4" s="49">
        <v>0</v>
      </c>
    </row>
    <row r="5" spans="1:7" s="3" customFormat="1" ht="23.25">
      <c r="A5" s="3" t="s">
        <v>18</v>
      </c>
      <c r="C5" s="49"/>
      <c r="D5" s="49">
        <v>0</v>
      </c>
      <c r="E5" s="49"/>
      <c r="F5" s="49"/>
      <c r="G5" s="49">
        <v>0</v>
      </c>
    </row>
    <row r="6" spans="1:7" s="3" customFormat="1" ht="23.25">
      <c r="A6" s="3" t="s">
        <v>20</v>
      </c>
      <c r="C6" s="49"/>
      <c r="D6" s="49">
        <v>0</v>
      </c>
      <c r="E6" s="49"/>
      <c r="F6" s="49"/>
      <c r="G6" s="49">
        <v>0</v>
      </c>
    </row>
    <row r="7" spans="1:7" s="3" customFormat="1" ht="23.25">
      <c r="A7" s="3" t="s">
        <v>22</v>
      </c>
      <c r="C7" s="49"/>
      <c r="D7" s="49">
        <v>0</v>
      </c>
      <c r="E7" s="49"/>
      <c r="F7" s="49"/>
      <c r="G7" s="49">
        <v>0</v>
      </c>
    </row>
    <row r="8" spans="1:7" s="3" customFormat="1" ht="23.25">
      <c r="A8" s="3" t="s">
        <v>24</v>
      </c>
      <c r="C8" s="49"/>
      <c r="D8" s="49">
        <v>0</v>
      </c>
      <c r="E8" s="49"/>
      <c r="F8" s="49"/>
      <c r="G8" s="49">
        <v>0</v>
      </c>
    </row>
    <row r="9" spans="1:7" s="3" customFormat="1" ht="23.25">
      <c r="A9" s="3" t="s">
        <v>26</v>
      </c>
      <c r="C9" s="49"/>
      <c r="D9" s="49">
        <v>0</v>
      </c>
      <c r="E9" s="49"/>
      <c r="F9" s="49"/>
      <c r="G9" s="49">
        <v>0</v>
      </c>
    </row>
    <row r="10" spans="1:7" s="3" customFormat="1" ht="23.25">
      <c r="A10" s="3" t="s">
        <v>28</v>
      </c>
      <c r="C10" s="49"/>
      <c r="D10" s="49">
        <v>0</v>
      </c>
      <c r="E10" s="49"/>
      <c r="F10" s="49"/>
      <c r="G10" s="49">
        <v>0</v>
      </c>
    </row>
    <row r="11" spans="1:7" s="3" customFormat="1" ht="23.25">
      <c r="A11" s="3" t="s">
        <v>115</v>
      </c>
      <c r="C11" s="49"/>
      <c r="D11" s="49">
        <v>0</v>
      </c>
      <c r="E11" s="49"/>
      <c r="F11" s="49"/>
      <c r="G11" s="49">
        <v>0</v>
      </c>
    </row>
    <row r="12" spans="1:7" s="3" customFormat="1" ht="23.25">
      <c r="A12" s="3" t="s">
        <v>116</v>
      </c>
      <c r="C12" s="49"/>
      <c r="D12" s="49">
        <v>1102800</v>
      </c>
      <c r="E12" s="49"/>
      <c r="F12" s="49"/>
      <c r="G12" s="49">
        <f>889500+D12</f>
        <v>1992300</v>
      </c>
    </row>
    <row r="13" spans="1:7" s="3" customFormat="1" ht="23.25">
      <c r="A13" s="3" t="s">
        <v>34</v>
      </c>
      <c r="C13" s="49"/>
      <c r="D13" s="49">
        <v>0</v>
      </c>
      <c r="E13" s="49"/>
      <c r="F13" s="49"/>
      <c r="G13" s="49">
        <v>0</v>
      </c>
    </row>
    <row r="14" spans="1:7" s="3" customFormat="1" ht="23.25">
      <c r="A14" s="3" t="s">
        <v>36</v>
      </c>
      <c r="C14" s="49"/>
      <c r="D14" s="49">
        <v>0</v>
      </c>
      <c r="E14" s="49"/>
      <c r="F14" s="49"/>
      <c r="G14" s="49">
        <v>0</v>
      </c>
    </row>
    <row r="15" spans="1:7" s="3" customFormat="1" ht="23.25">
      <c r="A15" s="3" t="s">
        <v>38</v>
      </c>
      <c r="C15" s="49"/>
      <c r="D15" s="54">
        <v>0</v>
      </c>
      <c r="E15" s="49"/>
      <c r="F15" s="49"/>
      <c r="G15" s="49">
        <v>0</v>
      </c>
    </row>
    <row r="16" spans="3:7" s="3" customFormat="1" ht="24" thickBot="1">
      <c r="C16" s="49"/>
      <c r="D16" s="52">
        <f>SUM(D4:D15)</f>
        <v>1102800</v>
      </c>
      <c r="E16" s="49"/>
      <c r="F16" s="49"/>
      <c r="G16" s="52">
        <f>SUM(G4:G15)</f>
        <v>1992300</v>
      </c>
    </row>
    <row r="17" spans="3:7" s="3" customFormat="1" ht="24" thickTop="1">
      <c r="C17" s="49"/>
      <c r="D17" s="49"/>
      <c r="E17" s="49"/>
      <c r="F17" s="49"/>
      <c r="G17" s="49"/>
    </row>
    <row r="18" spans="1:7" s="3" customFormat="1" ht="23.25">
      <c r="A18" s="3" t="s">
        <v>129</v>
      </c>
      <c r="C18" s="49"/>
      <c r="D18" s="49"/>
      <c r="E18" s="49"/>
      <c r="F18" s="49"/>
      <c r="G18" s="49"/>
    </row>
    <row r="19" spans="3:7" s="95" customFormat="1" ht="14.25">
      <c r="C19" s="96"/>
      <c r="D19" s="96"/>
      <c r="E19" s="96"/>
      <c r="F19" s="96"/>
      <c r="G19" s="96"/>
    </row>
    <row r="20" spans="1:7" ht="21">
      <c r="A20" s="94" t="s">
        <v>127</v>
      </c>
      <c r="B20" s="148">
        <v>8653366.12</v>
      </c>
      <c r="C20" s="148"/>
      <c r="D20" s="50"/>
      <c r="E20" s="50"/>
      <c r="F20" s="50"/>
      <c r="G20" s="50"/>
    </row>
    <row r="21" spans="1:7" ht="21">
      <c r="A21" s="94" t="s">
        <v>145</v>
      </c>
      <c r="B21" s="148">
        <v>6603.58</v>
      </c>
      <c r="C21" s="148"/>
      <c r="D21" s="50"/>
      <c r="E21" s="50"/>
      <c r="F21" s="50"/>
      <c r="G21" s="50"/>
    </row>
    <row r="22" spans="1:7" ht="21">
      <c r="A22" s="94" t="s">
        <v>130</v>
      </c>
      <c r="B22" s="148">
        <f>G16</f>
        <v>1992300</v>
      </c>
      <c r="C22" s="148"/>
      <c r="D22" s="50"/>
      <c r="E22" s="50"/>
      <c r="F22" s="50"/>
      <c r="G22" s="50"/>
    </row>
    <row r="23" spans="1:7" ht="21">
      <c r="A23" s="94" t="s">
        <v>128</v>
      </c>
      <c r="B23" s="148">
        <f>B20+B21-B22</f>
        <v>6667669.699999999</v>
      </c>
      <c r="C23" s="148"/>
      <c r="D23" s="50"/>
      <c r="E23" s="50"/>
      <c r="F23" s="50"/>
      <c r="G23" s="50"/>
    </row>
    <row r="24" spans="3:7" ht="21">
      <c r="C24" s="50"/>
      <c r="D24" s="50"/>
      <c r="E24" s="50"/>
      <c r="F24" s="50"/>
      <c r="G24" s="50"/>
    </row>
    <row r="25" spans="3:7" ht="21">
      <c r="C25" s="50"/>
      <c r="D25" s="50"/>
      <c r="E25" s="50"/>
      <c r="F25" s="50"/>
      <c r="G25" s="50"/>
    </row>
    <row r="26" spans="3:7" ht="21">
      <c r="C26" s="50"/>
      <c r="D26" s="50"/>
      <c r="E26" s="50"/>
      <c r="F26" s="50"/>
      <c r="G26" s="50"/>
    </row>
    <row r="27" spans="3:7" ht="21">
      <c r="C27" s="50"/>
      <c r="D27" s="50"/>
      <c r="E27" s="50"/>
      <c r="F27" s="50"/>
      <c r="G27" s="50"/>
    </row>
    <row r="28" spans="3:7" ht="21">
      <c r="C28" s="50"/>
      <c r="D28" s="50"/>
      <c r="E28" s="50"/>
      <c r="F28" s="50"/>
      <c r="G28" s="50"/>
    </row>
  </sheetData>
  <mergeCells count="6">
    <mergeCell ref="B22:C22"/>
    <mergeCell ref="B23:C23"/>
    <mergeCell ref="A1:J1"/>
    <mergeCell ref="A2:J2"/>
    <mergeCell ref="B20:C20"/>
    <mergeCell ref="B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P16" sqref="P16"/>
    </sheetView>
  </sheetViews>
  <sheetFormatPr defaultColWidth="9.140625" defaultRowHeight="21.75"/>
  <cols>
    <col min="1" max="1" width="27.7109375" style="47" customWidth="1"/>
    <col min="2" max="2" width="16.00390625" style="47" customWidth="1"/>
    <col min="3" max="3" width="9.140625" style="47" customWidth="1"/>
    <col min="4" max="4" width="14.28125" style="47" customWidth="1"/>
    <col min="5" max="5" width="6.28125" style="47" customWidth="1"/>
    <col min="6" max="6" width="15.28125" style="47" customWidth="1"/>
    <col min="7" max="7" width="9.140625" style="47" hidden="1" customWidth="1"/>
    <col min="8" max="8" width="3.421875" style="47" hidden="1" customWidth="1"/>
    <col min="9" max="11" width="9.140625" style="47" hidden="1" customWidth="1"/>
    <col min="12" max="12" width="16.8515625" style="47" customWidth="1"/>
    <col min="13" max="13" width="18.00390625" style="55" customWidth="1"/>
    <col min="14" max="16384" width="9.140625" style="47" customWidth="1"/>
  </cols>
  <sheetData>
    <row r="1" spans="1:9" ht="26.25">
      <c r="A1" s="147" t="s">
        <v>113</v>
      </c>
      <c r="B1" s="147"/>
      <c r="C1" s="147"/>
      <c r="D1" s="147"/>
      <c r="E1" s="147"/>
      <c r="F1" s="147"/>
      <c r="G1" s="147"/>
      <c r="H1" s="147"/>
      <c r="I1" s="147"/>
    </row>
    <row r="2" spans="1:9" ht="26.25">
      <c r="A2" s="147" t="s">
        <v>205</v>
      </c>
      <c r="B2" s="147"/>
      <c r="C2" s="147"/>
      <c r="D2" s="147"/>
      <c r="E2" s="147"/>
      <c r="F2" s="147"/>
      <c r="G2" s="147"/>
      <c r="H2" s="147"/>
      <c r="I2" s="147"/>
    </row>
    <row r="3" spans="1:6" ht="23.25">
      <c r="A3" s="48" t="s">
        <v>114</v>
      </c>
      <c r="B3" s="48"/>
      <c r="C3" s="48"/>
      <c r="D3" s="48" t="s">
        <v>117</v>
      </c>
      <c r="E3" s="48"/>
      <c r="F3" s="48" t="s">
        <v>118</v>
      </c>
    </row>
    <row r="4" spans="1:13" s="3" customFormat="1" ht="23.25">
      <c r="A4" s="3" t="s">
        <v>131</v>
      </c>
      <c r="C4" s="49"/>
      <c r="D4" s="54" t="s">
        <v>9</v>
      </c>
      <c r="E4" s="49"/>
      <c r="F4" s="51">
        <v>249172</v>
      </c>
      <c r="M4" s="100"/>
    </row>
    <row r="5" spans="1:13" s="3" customFormat="1" ht="23.25">
      <c r="A5" s="3" t="s">
        <v>132</v>
      </c>
      <c r="C5" s="49"/>
      <c r="D5" s="54" t="s">
        <v>9</v>
      </c>
      <c r="E5" s="49"/>
      <c r="F5" s="51">
        <v>257460</v>
      </c>
      <c r="M5" s="100"/>
    </row>
    <row r="6" spans="1:13" s="3" customFormat="1" ht="23.25">
      <c r="A6" s="3" t="s">
        <v>18</v>
      </c>
      <c r="C6" s="49"/>
      <c r="D6" s="54" t="s">
        <v>9</v>
      </c>
      <c r="E6" s="49"/>
      <c r="F6" s="51">
        <v>21320</v>
      </c>
      <c r="M6" s="100"/>
    </row>
    <row r="7" spans="1:13" s="3" customFormat="1" ht="23.25">
      <c r="A7" s="3" t="s">
        <v>20</v>
      </c>
      <c r="C7" s="49"/>
      <c r="D7" s="54" t="s">
        <v>9</v>
      </c>
      <c r="E7" s="49"/>
      <c r="F7" s="51">
        <v>93730</v>
      </c>
      <c r="L7" s="6" t="s">
        <v>137</v>
      </c>
      <c r="M7" s="100">
        <f>SUM(F4:F7)</f>
        <v>621682</v>
      </c>
    </row>
    <row r="8" spans="1:13" s="3" customFormat="1" ht="23.25">
      <c r="A8" s="3" t="s">
        <v>22</v>
      </c>
      <c r="C8" s="49"/>
      <c r="D8" s="54" t="s">
        <v>9</v>
      </c>
      <c r="E8" s="49"/>
      <c r="F8" s="51">
        <v>134477</v>
      </c>
      <c r="L8" s="6"/>
      <c r="M8" s="100"/>
    </row>
    <row r="9" spans="1:13" s="3" customFormat="1" ht="23.25">
      <c r="A9" s="3" t="s">
        <v>24</v>
      </c>
      <c r="C9" s="49"/>
      <c r="D9" s="54" t="s">
        <v>9</v>
      </c>
      <c r="E9" s="49"/>
      <c r="F9" s="51">
        <v>578749.38</v>
      </c>
      <c r="G9" s="53">
        <f>SUM(D9:F9)</f>
        <v>578749.38</v>
      </c>
      <c r="L9" s="6"/>
      <c r="M9" s="100"/>
    </row>
    <row r="10" spans="1:13" s="3" customFormat="1" ht="23.25">
      <c r="A10" s="3" t="s">
        <v>26</v>
      </c>
      <c r="C10" s="49"/>
      <c r="D10" s="54" t="s">
        <v>9</v>
      </c>
      <c r="E10" s="49"/>
      <c r="F10" s="51">
        <v>259474.68</v>
      </c>
      <c r="L10" s="6"/>
      <c r="M10" s="100"/>
    </row>
    <row r="11" spans="1:13" s="3" customFormat="1" ht="23.25">
      <c r="A11" s="3" t="s">
        <v>28</v>
      </c>
      <c r="C11" s="49"/>
      <c r="D11" s="54" t="s">
        <v>9</v>
      </c>
      <c r="E11" s="49"/>
      <c r="F11" s="51">
        <v>147456.21</v>
      </c>
      <c r="L11" s="6" t="s">
        <v>138</v>
      </c>
      <c r="M11" s="100">
        <f>SUM(F8:F11)</f>
        <v>1120157.27</v>
      </c>
    </row>
    <row r="12" spans="1:13" s="3" customFormat="1" ht="23.25">
      <c r="A12" s="3" t="s">
        <v>115</v>
      </c>
      <c r="C12" s="49"/>
      <c r="D12" s="54" t="s">
        <v>184</v>
      </c>
      <c r="E12" s="49"/>
      <c r="F12" s="51">
        <v>111700</v>
      </c>
      <c r="L12" s="6"/>
      <c r="M12" s="100"/>
    </row>
    <row r="13" spans="1:13" s="3" customFormat="1" ht="23.25">
      <c r="A13" s="3" t="s">
        <v>116</v>
      </c>
      <c r="C13" s="49"/>
      <c r="D13" s="54" t="s">
        <v>9</v>
      </c>
      <c r="E13" s="49"/>
      <c r="F13" s="51">
        <v>0</v>
      </c>
      <c r="L13" s="6" t="s">
        <v>139</v>
      </c>
      <c r="M13" s="100">
        <f>SUM(F12:F13)</f>
        <v>111700</v>
      </c>
    </row>
    <row r="14" spans="1:13" s="3" customFormat="1" ht="23.25">
      <c r="A14" s="3" t="s">
        <v>34</v>
      </c>
      <c r="C14" s="49"/>
      <c r="D14" s="54" t="s">
        <v>9</v>
      </c>
      <c r="E14" s="49"/>
      <c r="F14" s="51">
        <v>202000</v>
      </c>
      <c r="L14" s="6" t="s">
        <v>34</v>
      </c>
      <c r="M14" s="100">
        <f>SUM(F14:L14)</f>
        <v>202000</v>
      </c>
    </row>
    <row r="15" spans="1:13" s="3" customFormat="1" ht="23.25">
      <c r="A15" s="3" t="s">
        <v>36</v>
      </c>
      <c r="C15" s="49"/>
      <c r="D15" s="54" t="s">
        <v>9</v>
      </c>
      <c r="E15" s="49"/>
      <c r="F15" s="51">
        <v>0</v>
      </c>
      <c r="L15" s="6"/>
      <c r="M15" s="100"/>
    </row>
    <row r="16" spans="1:13" s="3" customFormat="1" ht="23.25">
      <c r="A16" s="3" t="s">
        <v>38</v>
      </c>
      <c r="C16" s="49"/>
      <c r="D16" s="54" t="s">
        <v>9</v>
      </c>
      <c r="E16" s="49"/>
      <c r="F16" s="51">
        <v>627470.73</v>
      </c>
      <c r="L16" s="6" t="s">
        <v>140</v>
      </c>
      <c r="M16" s="100">
        <f>SUM(F16:L16)</f>
        <v>627470.73</v>
      </c>
    </row>
    <row r="17" spans="3:13" s="3" customFormat="1" ht="24" thickBot="1">
      <c r="C17" s="49"/>
      <c r="D17" s="128" t="s">
        <v>9</v>
      </c>
      <c r="E17" s="49"/>
      <c r="F17" s="52">
        <f>SUM(F4:F16)</f>
        <v>2683010</v>
      </c>
      <c r="M17" s="101">
        <f>SUM(M4:M16)</f>
        <v>2683010</v>
      </c>
    </row>
    <row r="18" spans="3:13" s="3" customFormat="1" ht="24" thickTop="1">
      <c r="C18" s="49"/>
      <c r="D18" s="49"/>
      <c r="E18" s="49"/>
      <c r="F18" s="49"/>
      <c r="M18" s="100"/>
    </row>
    <row r="19" spans="1:6" ht="21.75">
      <c r="A19" s="94" t="s">
        <v>206</v>
      </c>
      <c r="B19" s="102">
        <f>'งบรับ-จ่าย ประจำเดือน '!B19</f>
        <v>12625354</v>
      </c>
      <c r="C19" s="50"/>
      <c r="D19" s="50"/>
      <c r="E19" s="50"/>
      <c r="F19" s="50"/>
    </row>
    <row r="20" spans="1:6" ht="21.75">
      <c r="A20" s="94" t="s">
        <v>207</v>
      </c>
      <c r="B20" s="102">
        <f>F17</f>
        <v>2683010</v>
      </c>
      <c r="C20" s="50"/>
      <c r="D20" s="50"/>
      <c r="E20" s="50"/>
      <c r="F20" s="50"/>
    </row>
    <row r="21" spans="1:6" ht="21.75">
      <c r="A21" s="94" t="s">
        <v>208</v>
      </c>
      <c r="B21" s="103">
        <f>B19-B20</f>
        <v>9942344</v>
      </c>
      <c r="C21" s="50"/>
      <c r="D21" s="50"/>
      <c r="E21" s="50"/>
      <c r="F21" s="50"/>
    </row>
    <row r="22" spans="3:6" ht="21">
      <c r="C22" s="50"/>
      <c r="D22" s="50"/>
      <c r="E22" s="50"/>
      <c r="F22" s="50"/>
    </row>
    <row r="23" spans="3:6" ht="21">
      <c r="C23" s="50"/>
      <c r="D23" s="50"/>
      <c r="E23" s="50"/>
      <c r="F23" s="50"/>
    </row>
    <row r="24" spans="3:6" ht="21">
      <c r="C24" s="50"/>
      <c r="D24" s="50"/>
      <c r="E24" s="50"/>
      <c r="F24" s="50"/>
    </row>
    <row r="25" spans="3:6" ht="21">
      <c r="C25" s="50"/>
      <c r="D25" s="50"/>
      <c r="E25" s="50"/>
      <c r="F25" s="50"/>
    </row>
    <row r="26" spans="3:6" ht="21">
      <c r="C26" s="50"/>
      <c r="D26" s="50"/>
      <c r="E26" s="50"/>
      <c r="F26" s="50"/>
    </row>
    <row r="27" spans="3:6" ht="21">
      <c r="C27" s="50"/>
      <c r="D27" s="50"/>
      <c r="E27" s="50"/>
      <c r="F27" s="50"/>
    </row>
    <row r="29" ht="29.25">
      <c r="L29" s="107"/>
    </row>
  </sheetData>
  <mergeCells count="2">
    <mergeCell ref="A1:I1"/>
    <mergeCell ref="A2:I2"/>
  </mergeCells>
  <printOptions/>
  <pageMargins left="0.92" right="0.75" top="1" bottom="1" header="0.5" footer="0.5"/>
  <pageSetup horizontalDpi="600" verticalDpi="600" orientation="portrait" paperSize="9" scale="93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L15" sqref="L15"/>
    </sheetView>
  </sheetViews>
  <sheetFormatPr defaultColWidth="9.140625" defaultRowHeight="21.75"/>
  <cols>
    <col min="1" max="1" width="9.140625" style="115" customWidth="1"/>
    <col min="2" max="2" width="17.28125" style="115" customWidth="1"/>
    <col min="3" max="3" width="15.7109375" style="119" bestFit="1" customWidth="1"/>
    <col min="4" max="6" width="9.140625" style="115" customWidth="1"/>
    <col min="7" max="7" width="13.140625" style="115" customWidth="1"/>
    <col min="8" max="8" width="15.7109375" style="119" bestFit="1" customWidth="1"/>
    <col min="9" max="16384" width="9.140625" style="115" customWidth="1"/>
  </cols>
  <sheetData>
    <row r="1" spans="1:9" ht="26.25">
      <c r="A1" s="149" t="s">
        <v>69</v>
      </c>
      <c r="B1" s="149"/>
      <c r="C1" s="149"/>
      <c r="D1" s="149"/>
      <c r="E1" s="149"/>
      <c r="F1" s="149"/>
      <c r="G1" s="149"/>
      <c r="H1" s="149"/>
      <c r="I1" s="149"/>
    </row>
    <row r="2" spans="1:9" ht="26.25">
      <c r="A2" s="149" t="s">
        <v>151</v>
      </c>
      <c r="B2" s="149"/>
      <c r="C2" s="149"/>
      <c r="D2" s="149"/>
      <c r="E2" s="149"/>
      <c r="F2" s="149"/>
      <c r="G2" s="149"/>
      <c r="H2" s="149"/>
      <c r="I2" s="149"/>
    </row>
    <row r="3" spans="1:9" ht="26.25">
      <c r="A3" s="149" t="s">
        <v>162</v>
      </c>
      <c r="B3" s="149"/>
      <c r="C3" s="149"/>
      <c r="D3" s="149"/>
      <c r="E3" s="149"/>
      <c r="F3" s="149"/>
      <c r="G3" s="149"/>
      <c r="H3" s="149"/>
      <c r="I3" s="149"/>
    </row>
    <row r="4" spans="1:9" s="117" customFormat="1" ht="14.25">
      <c r="A4" s="116"/>
      <c r="B4" s="116"/>
      <c r="C4" s="116"/>
      <c r="D4" s="116"/>
      <c r="E4" s="116"/>
      <c r="F4" s="116"/>
      <c r="G4" s="116"/>
      <c r="H4" s="116"/>
      <c r="I4" s="116"/>
    </row>
    <row r="5" spans="1:8" ht="25.5">
      <c r="A5" s="150"/>
      <c r="B5" s="150"/>
      <c r="C5" s="150"/>
      <c r="D5" s="118"/>
      <c r="E5" s="150"/>
      <c r="F5" s="150"/>
      <c r="G5" s="150"/>
      <c r="H5" s="150"/>
    </row>
    <row r="6" spans="1:8" ht="24.75">
      <c r="A6" s="115" t="s">
        <v>152</v>
      </c>
      <c r="C6" s="119">
        <f>23391116.18+1067321.9</f>
        <v>24458438.08</v>
      </c>
      <c r="E6" s="115" t="s">
        <v>153</v>
      </c>
      <c r="H6" s="119">
        <v>2783083.94</v>
      </c>
    </row>
    <row r="7" spans="1:8" ht="24.75">
      <c r="A7" s="115" t="s">
        <v>14</v>
      </c>
      <c r="C7" s="119">
        <v>52854.82</v>
      </c>
      <c r="E7" s="115" t="s">
        <v>154</v>
      </c>
      <c r="H7" s="119">
        <v>1689412.09</v>
      </c>
    </row>
    <row r="8" spans="1:8" ht="24.75">
      <c r="A8" s="115" t="s">
        <v>10</v>
      </c>
      <c r="C8" s="119">
        <v>21200</v>
      </c>
      <c r="E8" s="115" t="s">
        <v>92</v>
      </c>
      <c r="H8" s="119">
        <v>13786</v>
      </c>
    </row>
    <row r="9" spans="5:8" ht="24.75">
      <c r="E9" s="115" t="s">
        <v>46</v>
      </c>
      <c r="H9" s="119">
        <v>2087060.68</v>
      </c>
    </row>
    <row r="10" spans="5:8" ht="24.75">
      <c r="E10" s="115" t="s">
        <v>63</v>
      </c>
      <c r="H10" s="119">
        <v>9092648.79</v>
      </c>
    </row>
    <row r="11" spans="5:8" ht="25.5">
      <c r="E11" s="118" t="s">
        <v>163</v>
      </c>
      <c r="H11" s="119">
        <v>8866501.4</v>
      </c>
    </row>
    <row r="12" spans="3:8" ht="25.5" thickBot="1">
      <c r="C12" s="120">
        <f>SUM(C6:C11)</f>
        <v>24532492.9</v>
      </c>
      <c r="H12" s="120">
        <f>SUM(H6:H11)</f>
        <v>24532492.9</v>
      </c>
    </row>
    <row r="13" ht="25.5" thickTop="1"/>
  </sheetData>
  <mergeCells count="5">
    <mergeCell ref="A1:I1"/>
    <mergeCell ref="A2:I2"/>
    <mergeCell ref="A3:I3"/>
    <mergeCell ref="A5:C5"/>
    <mergeCell ref="E5:H5"/>
  </mergeCells>
  <printOptions/>
  <pageMargins left="0.36" right="0.21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ssdf</dc:creator>
  <cp:keywords/>
  <dc:description/>
  <cp:lastModifiedBy>NEXT Speed[R]</cp:lastModifiedBy>
  <cp:lastPrinted>2012-05-10T01:36:25Z</cp:lastPrinted>
  <dcterms:created xsi:type="dcterms:W3CDTF">2004-08-13T08:52:00Z</dcterms:created>
  <dcterms:modified xsi:type="dcterms:W3CDTF">2012-05-10T01:36:59Z</dcterms:modified>
  <cp:category/>
  <cp:version/>
  <cp:contentType/>
  <cp:contentStatus/>
</cp:coreProperties>
</file>